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У-Джурово\ФИШ_2025\БЮДЖЕТ_2025\"/>
    </mc:Choice>
  </mc:AlternateContent>
  <bookViews>
    <workbookView xWindow="0" yWindow="0" windowWidth="28770" windowHeight="12300" activeTab="4"/>
  </bookViews>
  <sheets>
    <sheet name="ЩАТНО" sheetId="33" r:id="rId1"/>
    <sheet name="Б-2025" sheetId="18" r:id="rId2"/>
    <sheet name="31.01.25" sheetId="21" r:id="rId3"/>
    <sheet name="28.02.25" sheetId="19" r:id="rId4"/>
    <sheet name="31.03.25" sheetId="20" r:id="rId5"/>
    <sheet name="30.04.24" sheetId="24" r:id="rId6"/>
    <sheet name="31.05.24" sheetId="25" r:id="rId7"/>
    <sheet name="30.06.24" sheetId="26" r:id="rId8"/>
    <sheet name="31.07.24" sheetId="27" r:id="rId9"/>
    <sheet name="31.08.24" sheetId="28" r:id="rId10"/>
    <sheet name="30.09.24" sheetId="29" r:id="rId11"/>
    <sheet name="31.10.24" sheetId="30" r:id="rId12"/>
    <sheet name="30.11.24" sheetId="31" r:id="rId13"/>
    <sheet name="31.12.24" sheetId="32" r:id="rId14"/>
  </sheets>
  <definedNames>
    <definedName name="_xlnm.Print_Area" localSheetId="3">'28.02.25'!$A$1:$F$40</definedName>
    <definedName name="_xlnm.Print_Area" localSheetId="5">'30.04.24'!$A$1:$E$38</definedName>
    <definedName name="_xlnm.Print_Area" localSheetId="2">'31.01.25'!$A$1:$F$39</definedName>
    <definedName name="_xlnm.Print_Area" localSheetId="4">'31.03.25'!$A$1:$F$40</definedName>
    <definedName name="_xlnm.Print_Area" localSheetId="1">'Б-2025'!$A$1:$D$42</definedName>
  </definedNames>
  <calcPr calcId="162913"/>
</workbook>
</file>

<file path=xl/calcChain.xml><?xml version="1.0" encoding="utf-8"?>
<calcChain xmlns="http://schemas.openxmlformats.org/spreadsheetml/2006/main">
  <c r="M19" i="20" l="1"/>
  <c r="M17" i="20"/>
  <c r="C41" i="20" l="1"/>
  <c r="I4" i="33" l="1"/>
  <c r="I5" i="33"/>
  <c r="I6" i="33"/>
  <c r="I7" i="33"/>
  <c r="I8" i="33"/>
  <c r="I9" i="33"/>
  <c r="I10" i="33"/>
  <c r="I11" i="33"/>
  <c r="I12" i="33"/>
  <c r="I13" i="33"/>
  <c r="I14" i="33"/>
  <c r="I15" i="33"/>
  <c r="I16" i="33"/>
  <c r="I17" i="33"/>
  <c r="I18" i="33"/>
  <c r="I19" i="33"/>
  <c r="F5" i="33"/>
  <c r="F6" i="33"/>
  <c r="F7" i="33"/>
  <c r="F8" i="33"/>
  <c r="F9" i="33"/>
  <c r="F10" i="33"/>
  <c r="F11" i="33"/>
  <c r="F12" i="33"/>
  <c r="F13" i="33"/>
  <c r="F14" i="33"/>
  <c r="F15" i="33"/>
  <c r="F16" i="33"/>
  <c r="F17" i="33"/>
  <c r="F18" i="33"/>
  <c r="F19" i="33"/>
  <c r="I3" i="33"/>
  <c r="F4" i="33"/>
  <c r="G3" i="33"/>
  <c r="F3" i="33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C19" i="20"/>
  <c r="D19" i="20" s="1"/>
  <c r="D18" i="20"/>
  <c r="C16" i="20"/>
  <c r="D16" i="20" s="1"/>
  <c r="C14" i="20"/>
  <c r="D12" i="20"/>
  <c r="D11" i="20"/>
  <c r="D10" i="20"/>
  <c r="D9" i="20"/>
  <c r="D8" i="20"/>
  <c r="D7" i="20"/>
  <c r="C7" i="20"/>
  <c r="D6" i="20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C19" i="19"/>
  <c r="D19" i="19" s="1"/>
  <c r="D18" i="19"/>
  <c r="C16" i="19"/>
  <c r="D16" i="19" s="1"/>
  <c r="C14" i="19"/>
  <c r="D14" i="19" s="1"/>
  <c r="D12" i="19"/>
  <c r="D11" i="19"/>
  <c r="D10" i="19"/>
  <c r="D9" i="19"/>
  <c r="D8" i="19"/>
  <c r="D7" i="19"/>
  <c r="C7" i="19"/>
  <c r="D6" i="19"/>
  <c r="D3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6" i="21"/>
  <c r="C36" i="21"/>
  <c r="C36" i="18"/>
  <c r="C19" i="21"/>
  <c r="C7" i="21"/>
  <c r="C14" i="21" s="1"/>
  <c r="D14" i="20" l="1"/>
  <c r="F14" i="20" s="1"/>
  <c r="C15" i="20"/>
  <c r="D15" i="20" s="1"/>
  <c r="C17" i="20"/>
  <c r="D17" i="20" s="1"/>
  <c r="C15" i="19"/>
  <c r="D15" i="19" s="1"/>
  <c r="C17" i="19"/>
  <c r="D17" i="19" s="1"/>
  <c r="C16" i="21"/>
  <c r="C17" i="21"/>
  <c r="C15" i="21"/>
  <c r="C13" i="21" s="1"/>
  <c r="F20" i="21"/>
  <c r="B45" i="18"/>
  <c r="L17" i="33"/>
  <c r="L18" i="33"/>
  <c r="L19" i="33"/>
  <c r="L16" i="33"/>
  <c r="L4" i="33"/>
  <c r="L5" i="33"/>
  <c r="L6" i="33"/>
  <c r="L7" i="33"/>
  <c r="N7" i="33" s="1"/>
  <c r="L8" i="33"/>
  <c r="L9" i="33"/>
  <c r="N9" i="33" s="1"/>
  <c r="L10" i="33"/>
  <c r="L11" i="33"/>
  <c r="N11" i="33" s="1"/>
  <c r="L12" i="33"/>
  <c r="L13" i="33"/>
  <c r="N13" i="33" s="1"/>
  <c r="L14" i="33"/>
  <c r="L15" i="33"/>
  <c r="N15" i="33" s="1"/>
  <c r="L3" i="33"/>
  <c r="N3" i="33" s="1"/>
  <c r="G4" i="33"/>
  <c r="G5" i="33"/>
  <c r="G6" i="33"/>
  <c r="G7" i="33"/>
  <c r="G8" i="33"/>
  <c r="G9" i="33"/>
  <c r="G10" i="33"/>
  <c r="G11" i="33"/>
  <c r="G12" i="33"/>
  <c r="G13" i="33"/>
  <c r="G14" i="33"/>
  <c r="G15" i="33"/>
  <c r="G16" i="33"/>
  <c r="G18" i="33"/>
  <c r="G19" i="33"/>
  <c r="G17" i="33"/>
  <c r="E28" i="20"/>
  <c r="E26" i="20"/>
  <c r="F26" i="20" s="1"/>
  <c r="E25" i="20"/>
  <c r="F25" i="20" s="1"/>
  <c r="E24" i="20"/>
  <c r="E20" i="20"/>
  <c r="E17" i="20"/>
  <c r="F17" i="20" s="1"/>
  <c r="E16" i="20"/>
  <c r="E13" i="20" s="1"/>
  <c r="E15" i="20"/>
  <c r="E14" i="20"/>
  <c r="E9" i="20"/>
  <c r="E8" i="20"/>
  <c r="E6" i="20"/>
  <c r="F35" i="20"/>
  <c r="F34" i="20"/>
  <c r="F31" i="20"/>
  <c r="F30" i="20"/>
  <c r="F28" i="20"/>
  <c r="F27" i="20"/>
  <c r="F24" i="20"/>
  <c r="F23" i="20"/>
  <c r="F22" i="20"/>
  <c r="F20" i="20"/>
  <c r="F15" i="20"/>
  <c r="E11" i="20"/>
  <c r="F11" i="20" s="1"/>
  <c r="F10" i="20"/>
  <c r="F9" i="20"/>
  <c r="E7" i="20"/>
  <c r="F6" i="20"/>
  <c r="N16" i="33" l="1"/>
  <c r="N14" i="33"/>
  <c r="N10" i="33"/>
  <c r="N6" i="33"/>
  <c r="N19" i="33"/>
  <c r="N17" i="33"/>
  <c r="N18" i="33"/>
  <c r="N5" i="33"/>
  <c r="N20" i="33"/>
  <c r="N22" i="33" s="1"/>
  <c r="N12" i="33"/>
  <c r="N8" i="33"/>
  <c r="N4" i="33"/>
  <c r="C13" i="20"/>
  <c r="C13" i="19"/>
  <c r="E19" i="20"/>
  <c r="F16" i="20"/>
  <c r="I20" i="33"/>
  <c r="F19" i="20"/>
  <c r="E36" i="20"/>
  <c r="F7" i="20"/>
  <c r="F8" i="20"/>
  <c r="D13" i="20" l="1"/>
  <c r="C36" i="20"/>
  <c r="D13" i="19"/>
  <c r="D36" i="19" s="1"/>
  <c r="C36" i="19"/>
  <c r="D36" i="20" l="1"/>
  <c r="F13" i="20"/>
  <c r="F36" i="20" s="1"/>
  <c r="E17" i="19"/>
  <c r="E16" i="19"/>
  <c r="E15" i="19"/>
  <c r="E14" i="19"/>
  <c r="F14" i="19" s="1"/>
  <c r="E11" i="19"/>
  <c r="E9" i="19"/>
  <c r="E8" i="19"/>
  <c r="E7" i="19" s="1"/>
  <c r="E6" i="19"/>
  <c r="E26" i="19"/>
  <c r="F26" i="19" s="1"/>
  <c r="E25" i="19"/>
  <c r="E24" i="19"/>
  <c r="E20" i="19"/>
  <c r="F20" i="19" s="1"/>
  <c r="F35" i="19"/>
  <c r="F34" i="19"/>
  <c r="F31" i="19"/>
  <c r="F30" i="19"/>
  <c r="F28" i="19"/>
  <c r="F27" i="19"/>
  <c r="F25" i="19"/>
  <c r="F24" i="19"/>
  <c r="F23" i="19"/>
  <c r="F22" i="19"/>
  <c r="F17" i="19"/>
  <c r="F16" i="19"/>
  <c r="F15" i="19"/>
  <c r="F11" i="19"/>
  <c r="F10" i="19"/>
  <c r="F9" i="19"/>
  <c r="F8" i="19"/>
  <c r="F6" i="19"/>
  <c r="E13" i="19" l="1"/>
  <c r="F13" i="19"/>
  <c r="F7" i="19"/>
  <c r="E19" i="19"/>
  <c r="E36" i="19" s="1"/>
  <c r="F19" i="19" l="1"/>
  <c r="F36" i="19" s="1"/>
  <c r="C6" i="32" l="1"/>
  <c r="C24" i="32"/>
  <c r="C26" i="32"/>
  <c r="C19" i="32" l="1"/>
  <c r="D15" i="32"/>
  <c r="D15" i="31"/>
  <c r="C6" i="30" l="1"/>
  <c r="D26" i="32"/>
  <c r="D25" i="32"/>
  <c r="D24" i="32"/>
  <c r="D20" i="32"/>
  <c r="D17" i="32"/>
  <c r="D16" i="32"/>
  <c r="D14" i="32"/>
  <c r="D11" i="32"/>
  <c r="D9" i="32"/>
  <c r="D6" i="32"/>
  <c r="E26" i="32" l="1"/>
  <c r="L33" i="32"/>
  <c r="E33" i="32"/>
  <c r="L32" i="32"/>
  <c r="J32" i="32"/>
  <c r="C32" i="32"/>
  <c r="E32" i="32" s="1"/>
  <c r="L31" i="32"/>
  <c r="E31" i="32"/>
  <c r="L30" i="32"/>
  <c r="E30" i="32"/>
  <c r="L28" i="32"/>
  <c r="D28" i="32"/>
  <c r="E28" i="32" s="1"/>
  <c r="L27" i="32"/>
  <c r="E27" i="32"/>
  <c r="L26" i="32"/>
  <c r="O25" i="32"/>
  <c r="L25" i="32"/>
  <c r="O24" i="32"/>
  <c r="K24" i="32"/>
  <c r="L24" i="32" s="1"/>
  <c r="E24" i="32"/>
  <c r="O23" i="32"/>
  <c r="L23" i="32"/>
  <c r="E23" i="32"/>
  <c r="L22" i="32"/>
  <c r="E22" i="32"/>
  <c r="L20" i="32"/>
  <c r="E20" i="32"/>
  <c r="K17" i="32"/>
  <c r="J17" i="32"/>
  <c r="L17" i="32" s="1"/>
  <c r="E17" i="32"/>
  <c r="K16" i="32"/>
  <c r="J16" i="32"/>
  <c r="L16" i="32" s="1"/>
  <c r="E16" i="32"/>
  <c r="K15" i="32"/>
  <c r="J15" i="32"/>
  <c r="L15" i="32" s="1"/>
  <c r="E15" i="32"/>
  <c r="K14" i="32"/>
  <c r="K13" i="32" s="1"/>
  <c r="J14" i="32"/>
  <c r="E14" i="32"/>
  <c r="D13" i="32"/>
  <c r="C13" i="32"/>
  <c r="L11" i="32"/>
  <c r="E11" i="32"/>
  <c r="L10" i="32"/>
  <c r="E10" i="32"/>
  <c r="L9" i="32"/>
  <c r="E9" i="32"/>
  <c r="L8" i="32"/>
  <c r="E8" i="32"/>
  <c r="K7" i="32"/>
  <c r="L7" i="32" s="1"/>
  <c r="C7" i="32"/>
  <c r="K6" i="32"/>
  <c r="J6" i="32"/>
  <c r="E6" i="32"/>
  <c r="E13" i="32" l="1"/>
  <c r="D19" i="32"/>
  <c r="K19" i="32"/>
  <c r="L19" i="32" s="1"/>
  <c r="J34" i="32"/>
  <c r="D7" i="32"/>
  <c r="D34" i="32" s="1"/>
  <c r="E25" i="32"/>
  <c r="J13" i="32"/>
  <c r="L13" i="32" s="1"/>
  <c r="L14" i="32"/>
  <c r="L6" i="32"/>
  <c r="L34" i="32" l="1"/>
  <c r="K34" i="32"/>
  <c r="N33" i="32" s="1"/>
  <c r="E19" i="32"/>
  <c r="E34" i="32" s="1"/>
  <c r="C34" i="32"/>
  <c r="E7" i="32"/>
  <c r="D24" i="31" l="1"/>
  <c r="C32" i="31" l="1"/>
  <c r="D28" i="31"/>
  <c r="D26" i="31"/>
  <c r="D25" i="31"/>
  <c r="D20" i="31"/>
  <c r="D17" i="31"/>
  <c r="D16" i="31"/>
  <c r="D14" i="31"/>
  <c r="C6" i="31" l="1"/>
  <c r="C26" i="31"/>
  <c r="C24" i="31"/>
  <c r="C19" i="31" s="1"/>
  <c r="C13" i="31"/>
  <c r="C7" i="31"/>
  <c r="C26" i="30"/>
  <c r="C32" i="30"/>
  <c r="C34" i="31" l="1"/>
  <c r="J6" i="30"/>
  <c r="J14" i="30"/>
  <c r="L14" i="30" s="1"/>
  <c r="J32" i="30"/>
  <c r="L32" i="30" s="1"/>
  <c r="J17" i="30"/>
  <c r="J16" i="30"/>
  <c r="J15" i="30"/>
  <c r="K24" i="30"/>
  <c r="L24" i="30" s="1"/>
  <c r="L33" i="30"/>
  <c r="L31" i="30"/>
  <c r="L30" i="30"/>
  <c r="L28" i="30"/>
  <c r="L27" i="30"/>
  <c r="L26" i="30"/>
  <c r="L25" i="30"/>
  <c r="L23" i="30"/>
  <c r="L22" i="30"/>
  <c r="L20" i="30"/>
  <c r="L17" i="30"/>
  <c r="L16" i="30"/>
  <c r="L15" i="30"/>
  <c r="K13" i="30"/>
  <c r="L11" i="30"/>
  <c r="L10" i="30"/>
  <c r="L9" i="30"/>
  <c r="L8" i="30"/>
  <c r="K7" i="30"/>
  <c r="L33" i="31"/>
  <c r="J32" i="31"/>
  <c r="L32" i="31" s="1"/>
  <c r="L31" i="31"/>
  <c r="L30" i="31"/>
  <c r="L28" i="31"/>
  <c r="L27" i="31"/>
  <c r="L26" i="31"/>
  <c r="L25" i="31"/>
  <c r="K24" i="31"/>
  <c r="L24" i="31" s="1"/>
  <c r="L23" i="31"/>
  <c r="L22" i="31"/>
  <c r="L20" i="31"/>
  <c r="K19" i="31"/>
  <c r="L19" i="31" s="1"/>
  <c r="K17" i="31"/>
  <c r="J17" i="31"/>
  <c r="L17" i="31" s="1"/>
  <c r="K16" i="31"/>
  <c r="J16" i="31"/>
  <c r="L16" i="31" s="1"/>
  <c r="K15" i="31"/>
  <c r="J15" i="31"/>
  <c r="L15" i="31" s="1"/>
  <c r="K14" i="31"/>
  <c r="K13" i="31" s="1"/>
  <c r="J14" i="31"/>
  <c r="L14" i="31" s="1"/>
  <c r="L11" i="31"/>
  <c r="L10" i="31"/>
  <c r="L9" i="31"/>
  <c r="L8" i="31"/>
  <c r="K7" i="31"/>
  <c r="L7" i="31" s="1"/>
  <c r="K6" i="31"/>
  <c r="J6" i="31"/>
  <c r="L6" i="31" l="1"/>
  <c r="J13" i="30"/>
  <c r="L13" i="30" s="1"/>
  <c r="N33" i="31"/>
  <c r="K19" i="30"/>
  <c r="L19" i="30" s="1"/>
  <c r="L6" i="30"/>
  <c r="K34" i="30"/>
  <c r="N33" i="30" s="1"/>
  <c r="N36" i="30" s="1"/>
  <c r="L7" i="30"/>
  <c r="K34" i="31"/>
  <c r="J13" i="31"/>
  <c r="L13" i="31" s="1"/>
  <c r="L34" i="31" s="1"/>
  <c r="O25" i="31"/>
  <c r="O24" i="31"/>
  <c r="O23" i="31"/>
  <c r="J34" i="30" l="1"/>
  <c r="J34" i="31"/>
  <c r="L34" i="30"/>
  <c r="O24" i="30"/>
  <c r="E17" i="31"/>
  <c r="D9" i="31"/>
  <c r="D6" i="31"/>
  <c r="E33" i="31"/>
  <c r="E32" i="31"/>
  <c r="E31" i="31"/>
  <c r="E30" i="31"/>
  <c r="E28" i="31"/>
  <c r="E27" i="31"/>
  <c r="E26" i="31"/>
  <c r="E25" i="31"/>
  <c r="E24" i="31"/>
  <c r="E23" i="31"/>
  <c r="E22" i="31"/>
  <c r="E20" i="31"/>
  <c r="D19" i="31"/>
  <c r="E19" i="31" s="1"/>
  <c r="E16" i="31"/>
  <c r="E15" i="31"/>
  <c r="E14" i="31"/>
  <c r="D13" i="31"/>
  <c r="D11" i="31"/>
  <c r="E11" i="31" s="1"/>
  <c r="E10" i="31"/>
  <c r="E9" i="31"/>
  <c r="E8" i="31"/>
  <c r="D7" i="31"/>
  <c r="D28" i="30"/>
  <c r="D26" i="30"/>
  <c r="D25" i="30"/>
  <c r="D24" i="30"/>
  <c r="D20" i="30"/>
  <c r="D17" i="30"/>
  <c r="D16" i="30"/>
  <c r="D15" i="30"/>
  <c r="D14" i="30"/>
  <c r="D9" i="30"/>
  <c r="D6" i="30"/>
  <c r="D34" i="31" l="1"/>
  <c r="E13" i="31"/>
  <c r="E7" i="31"/>
  <c r="E6" i="31"/>
  <c r="E33" i="30"/>
  <c r="E32" i="30"/>
  <c r="E31" i="30"/>
  <c r="E30" i="30"/>
  <c r="E28" i="30"/>
  <c r="E27" i="30"/>
  <c r="E26" i="30"/>
  <c r="E25" i="30"/>
  <c r="C24" i="30"/>
  <c r="E24" i="30" s="1"/>
  <c r="E23" i="30"/>
  <c r="E22" i="30"/>
  <c r="E20" i="30"/>
  <c r="C19" i="30"/>
  <c r="E17" i="30"/>
  <c r="E16" i="30"/>
  <c r="E15" i="30"/>
  <c r="E14" i="30"/>
  <c r="C13" i="30"/>
  <c r="D11" i="30"/>
  <c r="E11" i="30" s="1"/>
  <c r="E10" i="30"/>
  <c r="E9" i="30"/>
  <c r="E8" i="30"/>
  <c r="C7" i="30"/>
  <c r="D7" i="30" l="1"/>
  <c r="E7" i="30"/>
  <c r="E34" i="31"/>
  <c r="C34" i="30"/>
  <c r="D19" i="30"/>
  <c r="E19" i="30" s="1"/>
  <c r="E6" i="30"/>
  <c r="D13" i="30"/>
  <c r="E13" i="30" s="1"/>
  <c r="D15" i="28"/>
  <c r="D15" i="29"/>
  <c r="D25" i="29"/>
  <c r="D25" i="28"/>
  <c r="D34" i="30" l="1"/>
  <c r="E34" i="30"/>
  <c r="D26" i="29"/>
  <c r="D28" i="29" l="1"/>
  <c r="D24" i="29"/>
  <c r="D20" i="29"/>
  <c r="K24" i="29"/>
  <c r="C26" i="29" l="1"/>
  <c r="D17" i="29" l="1"/>
  <c r="D16" i="29"/>
  <c r="D14" i="29"/>
  <c r="D9" i="29"/>
  <c r="D6" i="29"/>
  <c r="E33" i="29" l="1"/>
  <c r="E32" i="29"/>
  <c r="E31" i="29"/>
  <c r="E30" i="29"/>
  <c r="E28" i="29"/>
  <c r="E27" i="29"/>
  <c r="E26" i="29"/>
  <c r="E25" i="29"/>
  <c r="C24" i="29"/>
  <c r="E24" i="29" s="1"/>
  <c r="E23" i="29"/>
  <c r="E22" i="29"/>
  <c r="E20" i="29"/>
  <c r="D19" i="29"/>
  <c r="C19" i="29"/>
  <c r="E17" i="29"/>
  <c r="E16" i="29"/>
  <c r="E15" i="29"/>
  <c r="E14" i="29"/>
  <c r="D13" i="29"/>
  <c r="C13" i="29"/>
  <c r="D11" i="29"/>
  <c r="E11" i="29" s="1"/>
  <c r="E10" i="29"/>
  <c r="E9" i="29"/>
  <c r="E8" i="29"/>
  <c r="D7" i="29"/>
  <c r="C7" i="29"/>
  <c r="E7" i="29" s="1"/>
  <c r="C6" i="29"/>
  <c r="D26" i="28"/>
  <c r="D17" i="28"/>
  <c r="D16" i="28"/>
  <c r="D14" i="28"/>
  <c r="D9" i="28"/>
  <c r="D6" i="28"/>
  <c r="J32" i="29"/>
  <c r="J34" i="29"/>
  <c r="L33" i="29"/>
  <c r="L32" i="29"/>
  <c r="L31" i="29"/>
  <c r="L30" i="29"/>
  <c r="L28" i="29"/>
  <c r="L27" i="29"/>
  <c r="L26" i="29"/>
  <c r="L25" i="29"/>
  <c r="L24" i="29"/>
  <c r="L23" i="29"/>
  <c r="L22" i="29"/>
  <c r="L20" i="29"/>
  <c r="K19" i="29"/>
  <c r="L19" i="29" s="1"/>
  <c r="L17" i="29"/>
  <c r="L16" i="29"/>
  <c r="L15" i="29"/>
  <c r="L14" i="29"/>
  <c r="K13" i="29"/>
  <c r="L13" i="29" s="1"/>
  <c r="L11" i="29"/>
  <c r="L10" i="29"/>
  <c r="L9" i="29"/>
  <c r="L8" i="29"/>
  <c r="K7" i="29"/>
  <c r="K34" i="29" s="1"/>
  <c r="L6" i="29"/>
  <c r="L7" i="29" l="1"/>
  <c r="E6" i="29"/>
  <c r="C34" i="29"/>
  <c r="E19" i="29"/>
  <c r="N33" i="29"/>
  <c r="E13" i="29"/>
  <c r="D34" i="29"/>
  <c r="L34" i="29"/>
  <c r="J32" i="28"/>
  <c r="J34" i="28"/>
  <c r="L33" i="28"/>
  <c r="E33" i="28"/>
  <c r="L32" i="28"/>
  <c r="E32" i="28"/>
  <c r="L31" i="28"/>
  <c r="E31" i="28"/>
  <c r="L30" i="28"/>
  <c r="E30" i="28"/>
  <c r="L28" i="28"/>
  <c r="D28" i="28"/>
  <c r="E28" i="28" s="1"/>
  <c r="L27" i="28"/>
  <c r="E27" i="28"/>
  <c r="L26" i="28"/>
  <c r="C26" i="28"/>
  <c r="E26" i="28" s="1"/>
  <c r="L25" i="28"/>
  <c r="E25" i="28"/>
  <c r="L24" i="28"/>
  <c r="D24" i="28"/>
  <c r="C24" i="28"/>
  <c r="E24" i="28" s="1"/>
  <c r="L23" i="28"/>
  <c r="E23" i="28"/>
  <c r="L22" i="28"/>
  <c r="E22" i="28"/>
  <c r="L20" i="28"/>
  <c r="D20" i="28"/>
  <c r="E20" i="28" s="1"/>
  <c r="K19" i="28"/>
  <c r="L19" i="28" s="1"/>
  <c r="L17" i="28"/>
  <c r="E17" i="28"/>
  <c r="L16" i="28"/>
  <c r="E16" i="28"/>
  <c r="L15" i="28"/>
  <c r="E15" i="28"/>
  <c r="L14" i="28"/>
  <c r="E14" i="28"/>
  <c r="K13" i="28"/>
  <c r="L13" i="28" s="1"/>
  <c r="C13" i="28"/>
  <c r="L11" i="28"/>
  <c r="D11" i="28"/>
  <c r="E11" i="28" s="1"/>
  <c r="L10" i="28"/>
  <c r="E10" i="28"/>
  <c r="L9" i="28"/>
  <c r="D7" i="28"/>
  <c r="L8" i="28"/>
  <c r="E8" i="28"/>
  <c r="K7" i="28"/>
  <c r="L7" i="28" s="1"/>
  <c r="C7" i="28"/>
  <c r="L6" i="28"/>
  <c r="C6" i="28"/>
  <c r="E6" i="28" s="1"/>
  <c r="C6" i="24"/>
  <c r="C6" i="25"/>
  <c r="C6" i="26"/>
  <c r="C6" i="27"/>
  <c r="D6" i="27"/>
  <c r="D28" i="27"/>
  <c r="C26" i="27"/>
  <c r="D26" i="27"/>
  <c r="D19" i="27" s="1"/>
  <c r="D25" i="27"/>
  <c r="D24" i="27"/>
  <c r="D20" i="27"/>
  <c r="E20" i="27" s="1"/>
  <c r="D17" i="27"/>
  <c r="E17" i="27" s="1"/>
  <c r="D16" i="27"/>
  <c r="D15" i="27"/>
  <c r="D14" i="27"/>
  <c r="D11" i="27"/>
  <c r="E11" i="27" s="1"/>
  <c r="D9" i="27"/>
  <c r="K13" i="27"/>
  <c r="L13" i="27" s="1"/>
  <c r="K7" i="27"/>
  <c r="K19" i="27"/>
  <c r="L19" i="27" s="1"/>
  <c r="J32" i="27"/>
  <c r="J34" i="27"/>
  <c r="L33" i="27"/>
  <c r="E33" i="27"/>
  <c r="L32" i="27"/>
  <c r="E32" i="27"/>
  <c r="L31" i="27"/>
  <c r="E31" i="27"/>
  <c r="L30" i="27"/>
  <c r="E30" i="27"/>
  <c r="L28" i="27"/>
  <c r="E28" i="27"/>
  <c r="L27" i="27"/>
  <c r="E27" i="27"/>
  <c r="L26" i="27"/>
  <c r="E26" i="27"/>
  <c r="L25" i="27"/>
  <c r="E25" i="27"/>
  <c r="L24" i="27"/>
  <c r="C24" i="27"/>
  <c r="L23" i="27"/>
  <c r="E23" i="27"/>
  <c r="L22" i="27"/>
  <c r="E22" i="27"/>
  <c r="L20" i="27"/>
  <c r="L17" i="27"/>
  <c r="L16" i="27"/>
  <c r="E16" i="27"/>
  <c r="L15" i="27"/>
  <c r="E15" i="27"/>
  <c r="L14" i="27"/>
  <c r="E14" i="27"/>
  <c r="D13" i="27"/>
  <c r="E13" i="27" s="1"/>
  <c r="C13" i="27"/>
  <c r="L11" i="27"/>
  <c r="L10" i="27"/>
  <c r="E10" i="27"/>
  <c r="L9" i="27"/>
  <c r="E9" i="27"/>
  <c r="D7" i="27"/>
  <c r="L8" i="27"/>
  <c r="E8" i="27"/>
  <c r="L7" i="27"/>
  <c r="C7" i="27"/>
  <c r="L6" i="27"/>
  <c r="E24" i="27" l="1"/>
  <c r="E34" i="29"/>
  <c r="E7" i="28"/>
  <c r="L34" i="28"/>
  <c r="E9" i="28"/>
  <c r="D13" i="28"/>
  <c r="C19" i="28"/>
  <c r="D19" i="28"/>
  <c r="K34" i="28"/>
  <c r="N33" i="28" s="1"/>
  <c r="D34" i="27"/>
  <c r="E7" i="27"/>
  <c r="E6" i="27"/>
  <c r="L34" i="27"/>
  <c r="K34" i="27"/>
  <c r="C19" i="27"/>
  <c r="E19" i="27" s="1"/>
  <c r="L33" i="26"/>
  <c r="L32" i="26"/>
  <c r="L31" i="26"/>
  <c r="L30" i="26"/>
  <c r="L28" i="26"/>
  <c r="L27" i="26"/>
  <c r="L26" i="26"/>
  <c r="L25" i="26"/>
  <c r="L24" i="26"/>
  <c r="L23" i="26"/>
  <c r="L22" i="26"/>
  <c r="L20" i="26"/>
  <c r="L17" i="26"/>
  <c r="L16" i="26"/>
  <c r="L15" i="26"/>
  <c r="L11" i="26"/>
  <c r="L10" i="26"/>
  <c r="L9" i="26"/>
  <c r="L8" i="26"/>
  <c r="L6" i="26"/>
  <c r="C34" i="27" l="1"/>
  <c r="D34" i="28"/>
  <c r="E19" i="28"/>
  <c r="E13" i="28"/>
  <c r="C34" i="28"/>
  <c r="E34" i="27"/>
  <c r="L7" i="26"/>
  <c r="L13" i="26"/>
  <c r="K34" i="26"/>
  <c r="L14" i="26"/>
  <c r="L19" i="26"/>
  <c r="J34" i="26"/>
  <c r="D24" i="26"/>
  <c r="D28" i="26"/>
  <c r="D26" i="26"/>
  <c r="D25" i="26"/>
  <c r="D20" i="26"/>
  <c r="D17" i="26"/>
  <c r="D16" i="26"/>
  <c r="D15" i="26"/>
  <c r="D14" i="26"/>
  <c r="D11" i="26"/>
  <c r="D9" i="26"/>
  <c r="D6" i="26"/>
  <c r="E34" i="28" l="1"/>
  <c r="L34" i="26"/>
  <c r="C26" i="26" l="1"/>
  <c r="E33" i="26"/>
  <c r="E32" i="26"/>
  <c r="E31" i="26"/>
  <c r="E30" i="26"/>
  <c r="E28" i="26"/>
  <c r="E27" i="26"/>
  <c r="E26" i="26"/>
  <c r="E25" i="26"/>
  <c r="C24" i="26"/>
  <c r="E24" i="26" s="1"/>
  <c r="E23" i="26"/>
  <c r="E22" i="26"/>
  <c r="E20" i="26"/>
  <c r="C19" i="26"/>
  <c r="E17" i="26"/>
  <c r="E16" i="26"/>
  <c r="E15" i="26"/>
  <c r="D13" i="26"/>
  <c r="C13" i="26"/>
  <c r="E11" i="26"/>
  <c r="E10" i="26"/>
  <c r="E9" i="26"/>
  <c r="E8" i="26"/>
  <c r="C7" i="26"/>
  <c r="E6" i="26"/>
  <c r="C24" i="25"/>
  <c r="E24" i="25" s="1"/>
  <c r="D20" i="25"/>
  <c r="D19" i="25" s="1"/>
  <c r="D28" i="25"/>
  <c r="D26" i="25"/>
  <c r="E26" i="25" s="1"/>
  <c r="D25" i="25"/>
  <c r="E25" i="25" s="1"/>
  <c r="D24" i="25"/>
  <c r="D17" i="25"/>
  <c r="E17" i="25" s="1"/>
  <c r="D16" i="25"/>
  <c r="D15" i="25"/>
  <c r="D14" i="25"/>
  <c r="E14" i="25" s="1"/>
  <c r="D11" i="25"/>
  <c r="D9" i="25"/>
  <c r="D6" i="25"/>
  <c r="E6" i="25" s="1"/>
  <c r="E33" i="25"/>
  <c r="E32" i="25"/>
  <c r="E31" i="25"/>
  <c r="E30" i="25"/>
  <c r="E28" i="25"/>
  <c r="E27" i="25"/>
  <c r="E23" i="25"/>
  <c r="E22" i="25"/>
  <c r="E16" i="25"/>
  <c r="E15" i="25"/>
  <c r="C13" i="25"/>
  <c r="D7" i="25"/>
  <c r="E10" i="25"/>
  <c r="E9" i="25"/>
  <c r="E8" i="25"/>
  <c r="C7" i="25"/>
  <c r="E7" i="25" l="1"/>
  <c r="D13" i="25"/>
  <c r="E13" i="25" s="1"/>
  <c r="C19" i="25"/>
  <c r="C34" i="25" s="1"/>
  <c r="E13" i="26"/>
  <c r="E14" i="26"/>
  <c r="C34" i="26"/>
  <c r="D7" i="26"/>
  <c r="D19" i="26"/>
  <c r="E19" i="26" s="1"/>
  <c r="D34" i="25"/>
  <c r="E11" i="25"/>
  <c r="E20" i="25"/>
  <c r="D28" i="24"/>
  <c r="D26" i="24"/>
  <c r="E26" i="24" s="1"/>
  <c r="D25" i="24"/>
  <c r="D24" i="24"/>
  <c r="E24" i="24" s="1"/>
  <c r="D20" i="24"/>
  <c r="D19" i="24" s="1"/>
  <c r="D17" i="24"/>
  <c r="E17" i="24" s="1"/>
  <c r="D16" i="24"/>
  <c r="D15" i="24"/>
  <c r="E15" i="24" s="1"/>
  <c r="D14" i="24"/>
  <c r="D13" i="24" s="1"/>
  <c r="E13" i="24" s="1"/>
  <c r="D11" i="24"/>
  <c r="D7" i="24" s="1"/>
  <c r="D9" i="24"/>
  <c r="D6" i="24"/>
  <c r="E33" i="24"/>
  <c r="E32" i="24"/>
  <c r="E31" i="24"/>
  <c r="E30" i="24"/>
  <c r="E28" i="24"/>
  <c r="E27" i="24"/>
  <c r="E25" i="24"/>
  <c r="E23" i="24"/>
  <c r="E22" i="24"/>
  <c r="C19" i="24"/>
  <c r="E16" i="24"/>
  <c r="E14" i="24"/>
  <c r="C13" i="24"/>
  <c r="E10" i="24"/>
  <c r="E9" i="24"/>
  <c r="E8" i="24"/>
  <c r="C7" i="24"/>
  <c r="C34" i="24" s="1"/>
  <c r="E6" i="24"/>
  <c r="E19" i="25" l="1"/>
  <c r="E34" i="25" s="1"/>
  <c r="D34" i="26"/>
  <c r="E7" i="26"/>
  <c r="E34" i="26" s="1"/>
  <c r="E19" i="24"/>
  <c r="D34" i="24"/>
  <c r="E7" i="24"/>
  <c r="E11" i="24"/>
  <c r="E20" i="24"/>
  <c r="E34" i="24" l="1"/>
  <c r="C19" i="18"/>
  <c r="C7" i="18"/>
  <c r="C17" i="18" l="1"/>
  <c r="C16" i="18"/>
  <c r="C15" i="18"/>
  <c r="C14" i="18"/>
  <c r="F34" i="21"/>
  <c r="F31" i="21"/>
  <c r="F30" i="21"/>
  <c r="F28" i="21"/>
  <c r="F27" i="21"/>
  <c r="F26" i="21"/>
  <c r="F25" i="21"/>
  <c r="F24" i="21"/>
  <c r="F23" i="21"/>
  <c r="F22" i="21"/>
  <c r="E19" i="21"/>
  <c r="F17" i="21"/>
  <c r="F16" i="21"/>
  <c r="F15" i="21"/>
  <c r="F14" i="21"/>
  <c r="E13" i="21"/>
  <c r="F11" i="21"/>
  <c r="F10" i="21"/>
  <c r="F9" i="21"/>
  <c r="E7" i="21"/>
  <c r="F6" i="21"/>
  <c r="C13" i="18" l="1"/>
  <c r="F19" i="21"/>
  <c r="E36" i="21"/>
  <c r="F13" i="21"/>
  <c r="F7" i="21"/>
  <c r="F8" i="21"/>
  <c r="F36" i="21" l="1"/>
</calcChain>
</file>

<file path=xl/sharedStrings.xml><?xml version="1.0" encoding="utf-8"?>
<sst xmlns="http://schemas.openxmlformats.org/spreadsheetml/2006/main" count="1248" uniqueCount="132">
  <si>
    <t>ФРЗ - ТД</t>
  </si>
  <si>
    <t>§ 01-01</t>
  </si>
  <si>
    <t>§ 02-00</t>
  </si>
  <si>
    <t>ИЗВЪНТРУДОВИ ПРАВООТН.</t>
  </si>
  <si>
    <t>§ 02-02</t>
  </si>
  <si>
    <t>СБКО</t>
  </si>
  <si>
    <t>§ 02-05</t>
  </si>
  <si>
    <t>ОБЕЗЩ. ЧЛ.222,224</t>
  </si>
  <si>
    <t>§ 02-08</t>
  </si>
  <si>
    <t>БОЛНИЧНИ</t>
  </si>
  <si>
    <t>§ 02-09</t>
  </si>
  <si>
    <t>ОСИГУРОВКИ ОБЩО</t>
  </si>
  <si>
    <t>§ 05-00</t>
  </si>
  <si>
    <t>ДОО - 11.42%</t>
  </si>
  <si>
    <t>§ 05-51</t>
  </si>
  <si>
    <t>УЧ.ПФ - 4.3%</t>
  </si>
  <si>
    <t>§ 05-52</t>
  </si>
  <si>
    <t>ЗО - 4.8%</t>
  </si>
  <si>
    <t>§ 05-60</t>
  </si>
  <si>
    <t>ДЗПО - 2.8%</t>
  </si>
  <si>
    <t>§ 05-80</t>
  </si>
  <si>
    <t>Храна ПГ</t>
  </si>
  <si>
    <t>§ 10-11</t>
  </si>
  <si>
    <t>учебни/КВАЛИФИКАЦИЯ</t>
  </si>
  <si>
    <t>§ 10-14</t>
  </si>
  <si>
    <t>§ 10-20</t>
  </si>
  <si>
    <t>РЕЗЕРВ</t>
  </si>
  <si>
    <t>§ 97-00</t>
  </si>
  <si>
    <t>ОБЩО</t>
  </si>
  <si>
    <t>§ 10-00</t>
  </si>
  <si>
    <t>§ 10-12</t>
  </si>
  <si>
    <t>§ 10-13</t>
  </si>
  <si>
    <t>МАТЕРИАЛИ</t>
  </si>
  <si>
    <t>§ 10-15</t>
  </si>
  <si>
    <t>ВОДА, ГОРИВА И ЕНЕРГИЯ</t>
  </si>
  <si>
    <t>§ 10-16</t>
  </si>
  <si>
    <t>ТЕКУЩ РЕМОНТ</t>
  </si>
  <si>
    <t>§ 10-30</t>
  </si>
  <si>
    <t>§ 10-51</t>
  </si>
  <si>
    <t>Остатък</t>
  </si>
  <si>
    <t>Издръжка в т.ч.</t>
  </si>
  <si>
    <t>Медикаменти</t>
  </si>
  <si>
    <t>Постелен инвентар и облекло</t>
  </si>
  <si>
    <t>ОУ "ХРИСТО БОТЕВ" - С. ДЖУРОВО</t>
  </si>
  <si>
    <t>Р-ДИ ЗА ВЪНШНИ УСЛУГИ</t>
  </si>
  <si>
    <t>КОМАНДИРОВКИ</t>
  </si>
  <si>
    <t>Р-ДИ ЗА ЗАСТРАХОВКИ</t>
  </si>
  <si>
    <t>ПЛАТЕНИ ДАНЪЦИ И ТАКСИ</t>
  </si>
  <si>
    <t>ОСНОВЕН РЕМОНТ НА ДМА</t>
  </si>
  <si>
    <t>§ 10-62</t>
  </si>
  <si>
    <t>§ 19-81</t>
  </si>
  <si>
    <t>§ 51-00</t>
  </si>
  <si>
    <t>НА ОУ "ХРИСТО БОТЕВ" С. ДЖУРОВО</t>
  </si>
  <si>
    <t>Изготвил: Борислава Игнатова</t>
  </si>
  <si>
    <t>Директор: Иванка Иванова</t>
  </si>
  <si>
    <t>Бюджет за 2024</t>
  </si>
  <si>
    <t xml:space="preserve">БЮДЖЕТ - 2024- ПЪРВОНАЧАЛЕН ПЛАН </t>
  </si>
  <si>
    <t>Към 30.04.2024г.</t>
  </si>
  <si>
    <t>Към 31.05.2024г.</t>
  </si>
  <si>
    <t>Към 30.06.2024г.</t>
  </si>
  <si>
    <t>БЮДЖЕТ - 2024- ПРОЕКТ "УСПЕХ ЗА ТЕБ"</t>
  </si>
  <si>
    <t>ТРАНСФЕР</t>
  </si>
  <si>
    <t>§ 63-01</t>
  </si>
  <si>
    <t>Към 31.07.2024г.</t>
  </si>
  <si>
    <t>Към 31.08.2024г.</t>
  </si>
  <si>
    <t>Към 30.09.2024г.</t>
  </si>
  <si>
    <t>Към 31.10.2024г.</t>
  </si>
  <si>
    <t>непреки</t>
  </si>
  <si>
    <t>Към 30.11.2024г.</t>
  </si>
  <si>
    <t>Към 31.12.2024г.</t>
  </si>
  <si>
    <t>Към 31.01.2025г.</t>
  </si>
  <si>
    <t>Бюджет за 2025</t>
  </si>
  <si>
    <t xml:space="preserve">БЮДЖЕТ - 2025- ПЪРВОНАЧАЛЕН ПЛАН </t>
  </si>
  <si>
    <t>01.01.2025 г.</t>
  </si>
  <si>
    <t>Актуализ. Бюджет за 2025</t>
  </si>
  <si>
    <t>Към 28.02.2025г.</t>
  </si>
  <si>
    <t>БЮДЖЕТ - 2025</t>
  </si>
  <si>
    <t>ОУ "ХРИСТО БОТЕВ" -                         С. ДЖУРОВО</t>
  </si>
  <si>
    <t>Иванка Борисова Иванова</t>
  </si>
  <si>
    <t>Надежда Цокова Иванова</t>
  </si>
  <si>
    <t>Лилия Мирославова Вутева</t>
  </si>
  <si>
    <t>Марина Найденова Василева</t>
  </si>
  <si>
    <t>Илонка Василева Недялкова</t>
  </si>
  <si>
    <t>Валентина Тодорова Александрова</t>
  </si>
  <si>
    <t>Весела Лазарова Велева</t>
  </si>
  <si>
    <t>Здравко Петров Станкулов</t>
  </si>
  <si>
    <t>Наталия Анатолиевна Петрова</t>
  </si>
  <si>
    <t>Към 31.03.2025г.</t>
  </si>
  <si>
    <t>§ 51-01</t>
  </si>
  <si>
    <t>§ 51-03</t>
  </si>
  <si>
    <t>ПРИДОБИВАНЕ НА КОМПЮТРИ</t>
  </si>
  <si>
    <t>ПРИДОБИВАНЕ НА ДР.ОБОРУДВАНЕ</t>
  </si>
  <si>
    <t>Детелина Иванова Велева</t>
  </si>
  <si>
    <t>Даниела Начева Димитрова</t>
  </si>
  <si>
    <t>Величка Генкова Георгиева</t>
  </si>
  <si>
    <t>Румяна Христова Петкова</t>
  </si>
  <si>
    <t>Борислава Петрова Игнатова</t>
  </si>
  <si>
    <t>Надежда Йокова Маринова</t>
  </si>
  <si>
    <t>Лалка Докова Василева</t>
  </si>
  <si>
    <t>Христина Маринова Цветанова</t>
  </si>
  <si>
    <t>ДЛЪЖНОСТ</t>
  </si>
  <si>
    <t>ИМЕ</t>
  </si>
  <si>
    <t>ОБРАЗОВАНИЕ</t>
  </si>
  <si>
    <t>ОБЩ.ТР. СТАЖ</t>
  </si>
  <si>
    <t>ПЕДАГ. СТАЖ</t>
  </si>
  <si>
    <t>% КЛАС</t>
  </si>
  <si>
    <t>ПКС</t>
  </si>
  <si>
    <t>БРУТНА ЗАПЛАТА</t>
  </si>
  <si>
    <t>ОСН. РАБ.ЗАПЛАТА 2025</t>
  </si>
  <si>
    <t>ОРЗ+КЛАС+ПКС</t>
  </si>
  <si>
    <t>Директор</t>
  </si>
  <si>
    <t>Старши учител - начален етап</t>
  </si>
  <si>
    <t>Старши учител - БЕЛ и Музика</t>
  </si>
  <si>
    <t>Старши учител - Математика</t>
  </si>
  <si>
    <t>Старши учител - ФВС и БЕЛ</t>
  </si>
  <si>
    <t>Старши учител - Руски език</t>
  </si>
  <si>
    <t>Старши учител - ЦДО</t>
  </si>
  <si>
    <t>Учител ЦДО - Прогимназиален етап</t>
  </si>
  <si>
    <t>Счетоводител</t>
  </si>
  <si>
    <t>Образователен медиатор</t>
  </si>
  <si>
    <t>Хигиенист</t>
  </si>
  <si>
    <t>Основно</t>
  </si>
  <si>
    <t>Магистър</t>
  </si>
  <si>
    <t>Професионален бакалавър</t>
  </si>
  <si>
    <t>Бакалавър</t>
  </si>
  <si>
    <t>Средно специално</t>
  </si>
  <si>
    <t>ПОДКРЕПА ЗА УСПЕХ</t>
  </si>
  <si>
    <t>УСПЕХ ЗА ТЕБ</t>
  </si>
  <si>
    <t>Педагогически персонал: 13</t>
  </si>
  <si>
    <t>Непедагогически персонал: 4</t>
  </si>
  <si>
    <t>Преходен остатък проекти</t>
  </si>
  <si>
    <t xml:space="preserve">РАВЕН ДОСТЪП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</si>
</sst>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4"/>
      <color rgb="FFFF0000"/>
      <name val="Arial"/>
      <family val="2"/>
      <charset val="204"/>
    </font>
    <font>
      <sz val="1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7" fillId="2" borderId="0" xfId="0" applyFont="1" applyFill="1"/>
    <xf numFmtId="0" fontId="0" fillId="0" borderId="2" xfId="0" applyBorder="1"/>
    <xf numFmtId="1" fontId="4" fillId="5" borderId="4" xfId="0" applyNumberFormat="1" applyFont="1" applyFill="1" applyBorder="1" applyAlignment="1">
      <alignment horizontal="center" wrapText="1"/>
    </xf>
    <xf numFmtId="2" fontId="0" fillId="5" borderId="4" xfId="0" applyNumberFormat="1" applyFill="1" applyBorder="1" applyAlignment="1">
      <alignment horizontal="center" vertical="center" wrapText="1"/>
    </xf>
    <xf numFmtId="3" fontId="2" fillId="5" borderId="4" xfId="0" applyNumberFormat="1" applyFont="1" applyFill="1" applyBorder="1" applyAlignment="1">
      <alignment horizontal="center" vertical="center"/>
    </xf>
    <xf numFmtId="0" fontId="5" fillId="0" borderId="6" xfId="0" applyFont="1" applyBorder="1"/>
    <xf numFmtId="0" fontId="6" fillId="0" borderId="9" xfId="0" applyFont="1" applyBorder="1"/>
    <xf numFmtId="0" fontId="0" fillId="3" borderId="2" xfId="0" applyFill="1" applyBorder="1"/>
    <xf numFmtId="4" fontId="3" fillId="0" borderId="5" xfId="0" applyNumberFormat="1" applyFont="1" applyBorder="1"/>
    <xf numFmtId="4" fontId="3" fillId="0" borderId="2" xfId="0" applyNumberFormat="1" applyFont="1" applyBorder="1"/>
    <xf numFmtId="4" fontId="2" fillId="0" borderId="2" xfId="0" applyNumberFormat="1" applyFont="1" applyBorder="1"/>
    <xf numFmtId="4" fontId="5" fillId="0" borderId="2" xfId="0" applyNumberFormat="1" applyFont="1" applyBorder="1"/>
    <xf numFmtId="4" fontId="5" fillId="0" borderId="5" xfId="0" applyNumberFormat="1" applyFont="1" applyBorder="1"/>
    <xf numFmtId="4" fontId="6" fillId="0" borderId="2" xfId="0" applyNumberFormat="1" applyFont="1" applyBorder="1"/>
    <xf numFmtId="4" fontId="6" fillId="0" borderId="0" xfId="0" applyNumberFormat="1" applyFont="1"/>
    <xf numFmtId="3" fontId="10" fillId="0" borderId="2" xfId="0" applyNumberFormat="1" applyFont="1" applyBorder="1"/>
    <xf numFmtId="3" fontId="9" fillId="0" borderId="5" xfId="0" applyNumberFormat="1" applyFont="1" applyBorder="1"/>
    <xf numFmtId="3" fontId="9" fillId="0" borderId="2" xfId="0" applyNumberFormat="1" applyFont="1" applyFill="1" applyBorder="1"/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9" fillId="4" borderId="2" xfId="0" applyNumberFormat="1" applyFont="1" applyFill="1" applyBorder="1"/>
    <xf numFmtId="0" fontId="6" fillId="0" borderId="0" xfId="0" applyFont="1" applyFill="1" applyBorder="1"/>
    <xf numFmtId="0" fontId="0" fillId="0" borderId="0" xfId="0" applyFill="1" applyBorder="1"/>
    <xf numFmtId="4" fontId="0" fillId="0" borderId="0" xfId="0" applyNumberFormat="1" applyFill="1" applyBorder="1"/>
    <xf numFmtId="1" fontId="7" fillId="0" borderId="0" xfId="0" applyNumberFormat="1" applyFont="1" applyFill="1" applyBorder="1" applyAlignment="1">
      <alignment horizontal="center" wrapText="1"/>
    </xf>
    <xf numFmtId="2" fontId="0" fillId="0" borderId="0" xfId="0" applyNumberForma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3" fontId="9" fillId="0" borderId="0" xfId="0" applyNumberFormat="1" applyFont="1" applyFill="1" applyBorder="1"/>
    <xf numFmtId="4" fontId="5" fillId="0" borderId="0" xfId="0" applyNumberFormat="1" applyFont="1" applyFill="1" applyBorder="1"/>
    <xf numFmtId="3" fontId="5" fillId="0" borderId="0" xfId="0" applyNumberFormat="1" applyFont="1" applyFill="1" applyBorder="1"/>
    <xf numFmtId="3" fontId="11" fillId="0" borderId="0" xfId="0" applyNumberFormat="1" applyFont="1" applyFill="1" applyBorder="1"/>
    <xf numFmtId="4" fontId="6" fillId="0" borderId="0" xfId="0" applyNumberFormat="1" applyFon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  <xf numFmtId="3" fontId="6" fillId="0" borderId="0" xfId="0" applyNumberFormat="1" applyFont="1" applyFill="1" applyBorder="1"/>
    <xf numFmtId="2" fontId="0" fillId="0" borderId="0" xfId="0" applyNumberFormat="1" applyFill="1" applyBorder="1" applyAlignment="1">
      <alignment wrapText="1"/>
    </xf>
    <xf numFmtId="0" fontId="8" fillId="0" borderId="2" xfId="0" applyFont="1" applyFill="1" applyBorder="1"/>
    <xf numFmtId="0" fontId="0" fillId="0" borderId="2" xfId="0" applyFill="1" applyBorder="1"/>
    <xf numFmtId="0" fontId="6" fillId="0" borderId="9" xfId="0" applyFont="1" applyFill="1" applyBorder="1"/>
    <xf numFmtId="3" fontId="11" fillId="0" borderId="2" xfId="0" applyNumberFormat="1" applyFont="1" applyFill="1" applyBorder="1"/>
    <xf numFmtId="4" fontId="5" fillId="0" borderId="2" xfId="0" applyNumberFormat="1" applyFont="1" applyFill="1" applyBorder="1"/>
    <xf numFmtId="0" fontId="0" fillId="0" borderId="10" xfId="0" applyBorder="1"/>
    <xf numFmtId="0" fontId="12" fillId="0" borderId="10" xfId="0" applyFont="1" applyFill="1" applyBorder="1"/>
    <xf numFmtId="4" fontId="6" fillId="0" borderId="2" xfId="0" applyNumberFormat="1" applyFont="1" applyFill="1" applyBorder="1"/>
    <xf numFmtId="3" fontId="6" fillId="0" borderId="0" xfId="0" applyNumberFormat="1" applyFont="1" applyFill="1"/>
    <xf numFmtId="0" fontId="1" fillId="0" borderId="0" xfId="0" applyFont="1"/>
    <xf numFmtId="4" fontId="2" fillId="0" borderId="0" xfId="0" applyNumberFormat="1" applyFont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4" fontId="9" fillId="4" borderId="2" xfId="0" applyNumberFormat="1" applyFont="1" applyFill="1" applyBorder="1"/>
    <xf numFmtId="4" fontId="13" fillId="0" borderId="0" xfId="0" applyNumberFormat="1" applyFont="1"/>
    <xf numFmtId="4" fontId="0" fillId="0" borderId="0" xfId="0" applyNumberFormat="1"/>
    <xf numFmtId="4" fontId="9" fillId="0" borderId="2" xfId="0" applyNumberFormat="1" applyFont="1" applyFill="1" applyBorder="1"/>
    <xf numFmtId="4" fontId="9" fillId="0" borderId="5" xfId="0" applyNumberFormat="1" applyFont="1" applyBorder="1"/>
    <xf numFmtId="4" fontId="11" fillId="0" borderId="2" xfId="0" applyNumberFormat="1" applyFont="1" applyBorder="1"/>
    <xf numFmtId="4" fontId="6" fillId="2" borderId="2" xfId="0" applyNumberFormat="1" applyFont="1" applyFill="1" applyBorder="1"/>
    <xf numFmtId="3" fontId="0" fillId="0" borderId="0" xfId="0" applyNumberFormat="1" applyFill="1" applyBorder="1"/>
    <xf numFmtId="4" fontId="10" fillId="0" borderId="2" xfId="0" applyNumberFormat="1" applyFont="1" applyBorder="1"/>
    <xf numFmtId="2" fontId="14" fillId="5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/>
    <xf numFmtId="0" fontId="3" fillId="4" borderId="2" xfId="0" applyFont="1" applyFill="1" applyBorder="1"/>
    <xf numFmtId="0" fontId="3" fillId="4" borderId="0" xfId="0" applyFont="1" applyFill="1"/>
    <xf numFmtId="0" fontId="3" fillId="0" borderId="0" xfId="1" applyNumberFormat="1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1" applyNumberFormat="1" applyFont="1" applyBorder="1"/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 wrapText="1"/>
    </xf>
    <xf numFmtId="2" fontId="0" fillId="0" borderId="2" xfId="0" applyNumberFormat="1" applyBorder="1"/>
    <xf numFmtId="49" fontId="0" fillId="0" borderId="2" xfId="0" applyNumberFormat="1" applyBorder="1" applyAlignment="1">
      <alignment horizontal="center"/>
    </xf>
    <xf numFmtId="0" fontId="12" fillId="0" borderId="0" xfId="0" applyFont="1" applyAlignment="1">
      <alignment horizontal="center"/>
    </xf>
    <xf numFmtId="2" fontId="3" fillId="5" borderId="8" xfId="0" applyNumberFormat="1" applyFont="1" applyFill="1" applyBorder="1" applyAlignment="1">
      <alignment horizontal="center" vertical="center" wrapText="1"/>
    </xf>
    <xf numFmtId="2" fontId="3" fillId="5" borderId="7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Нормален" xfId="0" builtinId="0"/>
    <cellStyle name="Процент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topLeftCell="A7" workbookViewId="0">
      <selection activeCell="F3" sqref="F3"/>
    </sheetView>
  </sheetViews>
  <sheetFormatPr defaultRowHeight="15" x14ac:dyDescent="0.25"/>
  <cols>
    <col min="1" max="1" width="42.42578125" customWidth="1"/>
    <col min="2" max="2" width="22" customWidth="1"/>
    <col min="3" max="3" width="20.28515625" customWidth="1"/>
    <col min="4" max="4" width="9.42578125" customWidth="1"/>
    <col min="6" max="6" width="15.85546875" customWidth="1"/>
    <col min="9" max="9" width="13.140625" customWidth="1"/>
    <col min="12" max="12" width="15.5703125" bestFit="1" customWidth="1"/>
    <col min="14" max="14" width="15.7109375" customWidth="1"/>
  </cols>
  <sheetData>
    <row r="2" spans="1:17" s="70" customFormat="1" ht="47.25" x14ac:dyDescent="0.25">
      <c r="A2" s="70" t="s">
        <v>101</v>
      </c>
      <c r="B2" s="70" t="s">
        <v>100</v>
      </c>
      <c r="C2" s="71" t="s">
        <v>102</v>
      </c>
      <c r="D2" s="71" t="s">
        <v>103</v>
      </c>
      <c r="E2" s="71" t="s">
        <v>104</v>
      </c>
      <c r="F2" s="71" t="s">
        <v>108</v>
      </c>
      <c r="G2" s="70" t="s">
        <v>105</v>
      </c>
      <c r="H2" s="70" t="s">
        <v>106</v>
      </c>
      <c r="I2" s="71" t="s">
        <v>107</v>
      </c>
      <c r="L2" s="71" t="s">
        <v>108</v>
      </c>
      <c r="N2" s="70" t="s">
        <v>109</v>
      </c>
    </row>
    <row r="3" spans="1:17" s="65" customFormat="1" ht="30.75" customHeight="1" x14ac:dyDescent="0.3">
      <c r="A3" s="66" t="s">
        <v>78</v>
      </c>
      <c r="B3" s="66" t="s">
        <v>110</v>
      </c>
      <c r="C3" s="66" t="s">
        <v>122</v>
      </c>
      <c r="D3" s="66">
        <v>37</v>
      </c>
      <c r="E3" s="66">
        <v>37</v>
      </c>
      <c r="F3" s="73">
        <f>L3</f>
        <v>3155.6</v>
      </c>
      <c r="G3" s="66">
        <f>F3*E3%</f>
        <v>1167.5719999999999</v>
      </c>
      <c r="H3" s="66">
        <v>90</v>
      </c>
      <c r="I3" s="66">
        <f>F3+G3+H3</f>
        <v>4413.1719999999996</v>
      </c>
      <c r="L3" s="69">
        <f t="shared" ref="L3:L15" si="0">(Q3*0.15)+Q3</f>
        <v>3155.6</v>
      </c>
      <c r="N3" s="65">
        <f>L3+G3+H3</f>
        <v>4413.1719999999996</v>
      </c>
      <c r="Q3" s="66">
        <v>2744</v>
      </c>
    </row>
    <row r="4" spans="1:17" s="65" customFormat="1" ht="37.5" x14ac:dyDescent="0.3">
      <c r="A4" s="66" t="s">
        <v>79</v>
      </c>
      <c r="B4" s="72" t="s">
        <v>111</v>
      </c>
      <c r="C4" s="66" t="s">
        <v>122</v>
      </c>
      <c r="D4" s="66">
        <v>37</v>
      </c>
      <c r="E4" s="66">
        <v>37</v>
      </c>
      <c r="F4" s="73">
        <f>L4</f>
        <v>2309.1999999999998</v>
      </c>
      <c r="G4" s="66">
        <f t="shared" ref="G4:G19" si="1">Q4*E4%</f>
        <v>742.96</v>
      </c>
      <c r="H4" s="66">
        <v>50</v>
      </c>
      <c r="I4" s="66">
        <f t="shared" ref="I4:I19" si="2">F4+G4+H4</f>
        <v>3102.16</v>
      </c>
      <c r="L4" s="69">
        <f t="shared" si="0"/>
        <v>2309.1999999999998</v>
      </c>
      <c r="N4" s="65">
        <f t="shared" ref="N4:N19" si="3">L4+G4+H4</f>
        <v>3102.16</v>
      </c>
      <c r="Q4" s="66">
        <v>2008</v>
      </c>
    </row>
    <row r="5" spans="1:17" s="65" customFormat="1" ht="38.25" customHeight="1" x14ac:dyDescent="0.3">
      <c r="A5" s="66" t="s">
        <v>80</v>
      </c>
      <c r="B5" s="72" t="s">
        <v>111</v>
      </c>
      <c r="C5" s="72" t="s">
        <v>123</v>
      </c>
      <c r="D5" s="66">
        <v>12</v>
      </c>
      <c r="E5" s="66">
        <v>12</v>
      </c>
      <c r="F5" s="73">
        <f t="shared" ref="F5:F19" si="4">L5</f>
        <v>2251.6999999999998</v>
      </c>
      <c r="G5" s="66">
        <f t="shared" si="1"/>
        <v>234.95999999999998</v>
      </c>
      <c r="H5" s="66">
        <v>30</v>
      </c>
      <c r="I5" s="66">
        <f t="shared" si="2"/>
        <v>2516.66</v>
      </c>
      <c r="L5" s="69">
        <f t="shared" si="0"/>
        <v>2251.6999999999998</v>
      </c>
      <c r="N5" s="65">
        <f t="shared" si="3"/>
        <v>2516.66</v>
      </c>
      <c r="Q5" s="66">
        <v>1958</v>
      </c>
    </row>
    <row r="6" spans="1:17" s="65" customFormat="1" ht="37.5" x14ac:dyDescent="0.3">
      <c r="A6" s="66" t="s">
        <v>81</v>
      </c>
      <c r="B6" s="72" t="s">
        <v>111</v>
      </c>
      <c r="C6" s="72" t="s">
        <v>123</v>
      </c>
      <c r="D6" s="66">
        <v>35</v>
      </c>
      <c r="E6" s="66">
        <v>35</v>
      </c>
      <c r="F6" s="73">
        <f t="shared" si="4"/>
        <v>2251.6999999999998</v>
      </c>
      <c r="G6" s="66">
        <f t="shared" si="1"/>
        <v>685.3</v>
      </c>
      <c r="H6" s="66">
        <v>50</v>
      </c>
      <c r="I6" s="66">
        <f t="shared" si="2"/>
        <v>2987</v>
      </c>
      <c r="L6" s="69">
        <f t="shared" si="0"/>
        <v>2251.6999999999998</v>
      </c>
      <c r="N6" s="65">
        <f t="shared" si="3"/>
        <v>2987</v>
      </c>
      <c r="Q6" s="66">
        <v>1958</v>
      </c>
    </row>
    <row r="7" spans="1:17" s="65" customFormat="1" ht="37.5" x14ac:dyDescent="0.3">
      <c r="A7" s="66" t="s">
        <v>82</v>
      </c>
      <c r="B7" s="72" t="s">
        <v>111</v>
      </c>
      <c r="C7" s="66" t="s">
        <v>124</v>
      </c>
      <c r="D7" s="66">
        <v>27</v>
      </c>
      <c r="E7" s="66">
        <v>27</v>
      </c>
      <c r="F7" s="73">
        <f t="shared" si="4"/>
        <v>2251.6999999999998</v>
      </c>
      <c r="G7" s="66">
        <f t="shared" si="1"/>
        <v>528.66000000000008</v>
      </c>
      <c r="H7" s="66">
        <v>50</v>
      </c>
      <c r="I7" s="66">
        <f t="shared" si="2"/>
        <v>2830.3599999999997</v>
      </c>
      <c r="L7" s="69">
        <f t="shared" si="0"/>
        <v>2251.6999999999998</v>
      </c>
      <c r="N7" s="65">
        <f t="shared" si="3"/>
        <v>2830.3599999999997</v>
      </c>
      <c r="Q7" s="66">
        <v>1958</v>
      </c>
    </row>
    <row r="8" spans="1:17" s="65" customFormat="1" ht="37.5" x14ac:dyDescent="0.3">
      <c r="A8" s="66" t="s">
        <v>83</v>
      </c>
      <c r="B8" s="72" t="s">
        <v>112</v>
      </c>
      <c r="C8" s="66" t="s">
        <v>122</v>
      </c>
      <c r="D8" s="66">
        <v>35</v>
      </c>
      <c r="E8" s="66">
        <v>35</v>
      </c>
      <c r="F8" s="73">
        <f t="shared" si="4"/>
        <v>2350.6</v>
      </c>
      <c r="G8" s="66">
        <f t="shared" si="1"/>
        <v>715.4</v>
      </c>
      <c r="H8" s="66">
        <v>50</v>
      </c>
      <c r="I8" s="66">
        <f t="shared" si="2"/>
        <v>3116</v>
      </c>
      <c r="L8" s="69">
        <f t="shared" si="0"/>
        <v>2350.6</v>
      </c>
      <c r="N8" s="65">
        <f t="shared" si="3"/>
        <v>3116</v>
      </c>
      <c r="Q8" s="66">
        <v>2044</v>
      </c>
    </row>
    <row r="9" spans="1:17" s="65" customFormat="1" ht="37.5" x14ac:dyDescent="0.3">
      <c r="A9" s="66" t="s">
        <v>84</v>
      </c>
      <c r="B9" s="72" t="s">
        <v>113</v>
      </c>
      <c r="C9" s="66" t="s">
        <v>122</v>
      </c>
      <c r="D9" s="66">
        <v>30</v>
      </c>
      <c r="E9" s="66">
        <v>30</v>
      </c>
      <c r="F9" s="73">
        <f t="shared" si="4"/>
        <v>2408.1</v>
      </c>
      <c r="G9" s="66">
        <f t="shared" si="1"/>
        <v>628.19999999999993</v>
      </c>
      <c r="H9" s="66">
        <v>50</v>
      </c>
      <c r="I9" s="66">
        <f t="shared" si="2"/>
        <v>3086.2999999999997</v>
      </c>
      <c r="L9" s="69">
        <f t="shared" si="0"/>
        <v>2408.1</v>
      </c>
      <c r="N9" s="65">
        <f t="shared" si="3"/>
        <v>3086.2999999999997</v>
      </c>
      <c r="Q9" s="66">
        <v>2094</v>
      </c>
    </row>
    <row r="10" spans="1:17" s="65" customFormat="1" ht="37.5" x14ac:dyDescent="0.3">
      <c r="A10" s="66" t="s">
        <v>85</v>
      </c>
      <c r="B10" s="72" t="s">
        <v>114</v>
      </c>
      <c r="C10" s="72" t="s">
        <v>123</v>
      </c>
      <c r="D10" s="66">
        <v>43</v>
      </c>
      <c r="E10" s="66">
        <v>43</v>
      </c>
      <c r="F10" s="73">
        <f t="shared" si="4"/>
        <v>2251.6999999999998</v>
      </c>
      <c r="G10" s="66">
        <f t="shared" si="1"/>
        <v>841.93999999999994</v>
      </c>
      <c r="H10" s="66">
        <v>50</v>
      </c>
      <c r="I10" s="66">
        <f t="shared" si="2"/>
        <v>3143.64</v>
      </c>
      <c r="L10" s="69">
        <f t="shared" si="0"/>
        <v>2251.6999999999998</v>
      </c>
      <c r="N10" s="65">
        <f t="shared" si="3"/>
        <v>3143.64</v>
      </c>
      <c r="Q10" s="66">
        <v>1958</v>
      </c>
    </row>
    <row r="11" spans="1:17" s="65" customFormat="1" ht="37.5" x14ac:dyDescent="0.3">
      <c r="A11" s="66" t="s">
        <v>86</v>
      </c>
      <c r="B11" s="72" t="s">
        <v>115</v>
      </c>
      <c r="C11" s="66" t="s">
        <v>124</v>
      </c>
      <c r="D11" s="66">
        <v>21</v>
      </c>
      <c r="E11" s="66">
        <v>21</v>
      </c>
      <c r="F11" s="73">
        <f t="shared" si="4"/>
        <v>2251.6999999999998</v>
      </c>
      <c r="G11" s="66">
        <f t="shared" si="1"/>
        <v>411.18</v>
      </c>
      <c r="H11" s="66">
        <v>50</v>
      </c>
      <c r="I11" s="66">
        <f t="shared" si="2"/>
        <v>2712.8799999999997</v>
      </c>
      <c r="L11" s="69">
        <f t="shared" si="0"/>
        <v>2251.6999999999998</v>
      </c>
      <c r="N11" s="65">
        <f t="shared" si="3"/>
        <v>2712.8799999999997</v>
      </c>
      <c r="Q11" s="66">
        <v>1958</v>
      </c>
    </row>
    <row r="12" spans="1:17" s="65" customFormat="1" ht="37.5" x14ac:dyDescent="0.3">
      <c r="A12" s="66" t="s">
        <v>92</v>
      </c>
      <c r="B12" s="72" t="s">
        <v>116</v>
      </c>
      <c r="C12" s="66" t="s">
        <v>122</v>
      </c>
      <c r="D12" s="66">
        <v>40</v>
      </c>
      <c r="E12" s="66">
        <v>40</v>
      </c>
      <c r="F12" s="73">
        <f t="shared" si="4"/>
        <v>2251.6999999999998</v>
      </c>
      <c r="G12" s="66">
        <f t="shared" si="1"/>
        <v>783.2</v>
      </c>
      <c r="H12" s="66">
        <v>50</v>
      </c>
      <c r="I12" s="66">
        <f t="shared" si="2"/>
        <v>3084.8999999999996</v>
      </c>
      <c r="L12" s="69">
        <f t="shared" si="0"/>
        <v>2251.6999999999998</v>
      </c>
      <c r="N12" s="65">
        <f t="shared" si="3"/>
        <v>3084.8999999999996</v>
      </c>
      <c r="Q12" s="66">
        <v>1958</v>
      </c>
    </row>
    <row r="13" spans="1:17" s="65" customFormat="1" ht="37.5" x14ac:dyDescent="0.3">
      <c r="A13" s="66" t="s">
        <v>93</v>
      </c>
      <c r="B13" s="72" t="s">
        <v>116</v>
      </c>
      <c r="C13" s="66" t="s">
        <v>122</v>
      </c>
      <c r="D13" s="66">
        <v>45</v>
      </c>
      <c r="E13" s="66">
        <v>45</v>
      </c>
      <c r="F13" s="73">
        <f t="shared" si="4"/>
        <v>2251.6999999999998</v>
      </c>
      <c r="G13" s="66">
        <f t="shared" si="1"/>
        <v>881.1</v>
      </c>
      <c r="H13" s="66">
        <v>30</v>
      </c>
      <c r="I13" s="66">
        <f t="shared" si="2"/>
        <v>3162.7999999999997</v>
      </c>
      <c r="L13" s="69">
        <f t="shared" si="0"/>
        <v>2251.6999999999998</v>
      </c>
      <c r="N13" s="65">
        <f t="shared" si="3"/>
        <v>3162.7999999999997</v>
      </c>
      <c r="Q13" s="66">
        <v>1958</v>
      </c>
    </row>
    <row r="14" spans="1:17" s="65" customFormat="1" ht="37.5" x14ac:dyDescent="0.3">
      <c r="A14" s="66" t="s">
        <v>94</v>
      </c>
      <c r="B14" s="72" t="s">
        <v>116</v>
      </c>
      <c r="C14" s="66" t="s">
        <v>122</v>
      </c>
      <c r="D14" s="66">
        <v>34</v>
      </c>
      <c r="E14" s="66">
        <v>34</v>
      </c>
      <c r="F14" s="73">
        <f t="shared" si="4"/>
        <v>2251.6999999999998</v>
      </c>
      <c r="G14" s="66">
        <f t="shared" si="1"/>
        <v>665.72</v>
      </c>
      <c r="H14" s="66">
        <v>70</v>
      </c>
      <c r="I14" s="66">
        <f t="shared" si="2"/>
        <v>2987.42</v>
      </c>
      <c r="L14" s="69">
        <f t="shared" si="0"/>
        <v>2251.6999999999998</v>
      </c>
      <c r="N14" s="65">
        <f t="shared" si="3"/>
        <v>2987.42</v>
      </c>
      <c r="Q14" s="66">
        <v>1958</v>
      </c>
    </row>
    <row r="15" spans="1:17" s="65" customFormat="1" ht="56.25" x14ac:dyDescent="0.3">
      <c r="A15" s="66" t="s">
        <v>95</v>
      </c>
      <c r="B15" s="72" t="s">
        <v>117</v>
      </c>
      <c r="C15" s="72" t="s">
        <v>123</v>
      </c>
      <c r="D15" s="66">
        <v>28</v>
      </c>
      <c r="E15" s="66">
        <v>18</v>
      </c>
      <c r="F15" s="73">
        <f t="shared" si="4"/>
        <v>2135.5500000000002</v>
      </c>
      <c r="G15" s="66">
        <f t="shared" si="1"/>
        <v>334.26</v>
      </c>
      <c r="H15" s="66">
        <v>50</v>
      </c>
      <c r="I15" s="66">
        <f t="shared" si="2"/>
        <v>2519.8100000000004</v>
      </c>
      <c r="L15" s="69">
        <f t="shared" si="0"/>
        <v>2135.5500000000002</v>
      </c>
      <c r="N15" s="65">
        <f t="shared" si="3"/>
        <v>2519.8100000000004</v>
      </c>
      <c r="Q15" s="66">
        <v>1857</v>
      </c>
    </row>
    <row r="16" spans="1:17" s="65" customFormat="1" ht="30.75" customHeight="1" x14ac:dyDescent="0.3">
      <c r="A16" s="66" t="s">
        <v>96</v>
      </c>
      <c r="B16" s="66" t="s">
        <v>118</v>
      </c>
      <c r="C16" s="66" t="s">
        <v>122</v>
      </c>
      <c r="D16" s="66">
        <v>0</v>
      </c>
      <c r="E16" s="66">
        <v>0</v>
      </c>
      <c r="F16" s="73">
        <f t="shared" si="4"/>
        <v>1100</v>
      </c>
      <c r="G16" s="66">
        <f t="shared" si="1"/>
        <v>0</v>
      </c>
      <c r="H16" s="66"/>
      <c r="I16" s="66">
        <f t="shared" si="2"/>
        <v>1100</v>
      </c>
      <c r="L16" s="65">
        <f>Q16</f>
        <v>1100</v>
      </c>
      <c r="N16" s="65">
        <f t="shared" si="3"/>
        <v>1100</v>
      </c>
      <c r="Q16" s="67">
        <v>1100</v>
      </c>
    </row>
    <row r="17" spans="1:17" s="65" customFormat="1" ht="37.5" x14ac:dyDescent="0.3">
      <c r="A17" s="66" t="s">
        <v>97</v>
      </c>
      <c r="B17" s="72" t="s">
        <v>119</v>
      </c>
      <c r="C17" s="72" t="s">
        <v>125</v>
      </c>
      <c r="D17" s="66">
        <v>2</v>
      </c>
      <c r="E17" s="66">
        <v>2</v>
      </c>
      <c r="F17" s="73">
        <f t="shared" si="4"/>
        <v>1150</v>
      </c>
      <c r="G17" s="66">
        <f t="shared" si="1"/>
        <v>23</v>
      </c>
      <c r="H17" s="66"/>
      <c r="I17" s="66">
        <f t="shared" si="2"/>
        <v>1173</v>
      </c>
      <c r="L17" s="65">
        <f>Q17</f>
        <v>1150</v>
      </c>
      <c r="N17" s="65">
        <f t="shared" si="3"/>
        <v>1173</v>
      </c>
      <c r="Q17" s="66">
        <v>1150</v>
      </c>
    </row>
    <row r="18" spans="1:17" s="65" customFormat="1" ht="29.25" customHeight="1" x14ac:dyDescent="0.3">
      <c r="A18" s="66" t="s">
        <v>98</v>
      </c>
      <c r="B18" s="66" t="s">
        <v>120</v>
      </c>
      <c r="C18" s="66" t="s">
        <v>121</v>
      </c>
      <c r="D18" s="66">
        <v>30</v>
      </c>
      <c r="E18" s="66">
        <v>30</v>
      </c>
      <c r="F18" s="73">
        <f t="shared" si="4"/>
        <v>1080</v>
      </c>
      <c r="G18" s="66">
        <f t="shared" si="1"/>
        <v>324</v>
      </c>
      <c r="H18" s="66"/>
      <c r="I18" s="66">
        <f t="shared" si="2"/>
        <v>1404</v>
      </c>
      <c r="L18" s="65">
        <f>Q18</f>
        <v>1080</v>
      </c>
      <c r="N18" s="65">
        <f t="shared" si="3"/>
        <v>1404</v>
      </c>
      <c r="Q18" s="66">
        <v>1080</v>
      </c>
    </row>
    <row r="19" spans="1:17" s="65" customFormat="1" ht="30" customHeight="1" x14ac:dyDescent="0.3">
      <c r="A19" s="66" t="s">
        <v>99</v>
      </c>
      <c r="B19" s="66" t="s">
        <v>120</v>
      </c>
      <c r="C19" s="66" t="s">
        <v>121</v>
      </c>
      <c r="D19" s="66">
        <v>12</v>
      </c>
      <c r="E19" s="66">
        <v>12</v>
      </c>
      <c r="F19" s="73">
        <f t="shared" si="4"/>
        <v>1080</v>
      </c>
      <c r="G19" s="66">
        <f t="shared" si="1"/>
        <v>129.6</v>
      </c>
      <c r="H19" s="66"/>
      <c r="I19" s="66">
        <f t="shared" si="2"/>
        <v>1209.5999999999999</v>
      </c>
      <c r="L19" s="65">
        <f>Q19</f>
        <v>1080</v>
      </c>
      <c r="N19" s="65">
        <f t="shared" si="3"/>
        <v>1209.5999999999999</v>
      </c>
      <c r="Q19" s="66">
        <v>1080</v>
      </c>
    </row>
    <row r="20" spans="1:17" s="65" customFormat="1" ht="18.75" x14ac:dyDescent="0.3">
      <c r="I20" s="68">
        <f>SUM(I3:I19)</f>
        <v>44549.701999999997</v>
      </c>
      <c r="N20" s="65">
        <f>SUM(N3:N19)</f>
        <v>44549.701999999997</v>
      </c>
    </row>
    <row r="21" spans="1:17" s="65" customFormat="1" ht="18.75" x14ac:dyDescent="0.3"/>
    <row r="22" spans="1:17" s="65" customFormat="1" ht="18.75" x14ac:dyDescent="0.3">
      <c r="N22" s="65">
        <f>N20*13</f>
        <v>579146.12599999993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19" zoomScaleNormal="100" workbookViewId="0">
      <selection activeCell="C45" sqref="C45"/>
    </sheetView>
  </sheetViews>
  <sheetFormatPr defaultRowHeight="15" x14ac:dyDescent="0.25"/>
  <cols>
    <col min="1" max="1" width="33.28515625" customWidth="1"/>
    <col min="2" max="2" width="13" customWidth="1"/>
    <col min="3" max="3" width="16.140625" customWidth="1"/>
    <col min="4" max="4" width="10.5703125" bestFit="1" customWidth="1"/>
    <col min="6" max="6" width="10.5703125" customWidth="1"/>
    <col min="9" max="9" width="14.85546875" customWidth="1"/>
  </cols>
  <sheetData>
    <row r="1" spans="1:6" ht="18.75" x14ac:dyDescent="0.3">
      <c r="A1" s="1" t="s">
        <v>72</v>
      </c>
      <c r="B1" s="1"/>
    </row>
    <row r="2" spans="1:6" ht="18.75" x14ac:dyDescent="0.3">
      <c r="A2" s="1" t="s">
        <v>52</v>
      </c>
      <c r="B2" s="1"/>
    </row>
    <row r="3" spans="1:6" ht="18.75" x14ac:dyDescent="0.3">
      <c r="B3" s="1"/>
      <c r="C3" s="1"/>
    </row>
    <row r="4" spans="1:6" ht="19.5" thickBot="1" x14ac:dyDescent="0.35">
      <c r="D4" s="1"/>
    </row>
    <row r="5" spans="1:6" ht="42.75" thickBot="1" x14ac:dyDescent="0.4">
      <c r="A5" s="79" t="s">
        <v>43</v>
      </c>
      <c r="B5" s="80"/>
      <c r="C5" s="8" t="s">
        <v>71</v>
      </c>
      <c r="D5" s="2"/>
      <c r="F5" s="51"/>
    </row>
    <row r="6" spans="1:6" ht="18" x14ac:dyDescent="0.25">
      <c r="A6" s="81" t="s">
        <v>0</v>
      </c>
      <c r="B6" s="11" t="s">
        <v>1</v>
      </c>
      <c r="C6" s="22">
        <v>590000</v>
      </c>
    </row>
    <row r="7" spans="1:6" ht="18.75" x14ac:dyDescent="0.3">
      <c r="A7" s="82"/>
      <c r="B7" s="3" t="s">
        <v>2</v>
      </c>
      <c r="C7" s="23">
        <f>SUM(C8:C11)</f>
        <v>28000</v>
      </c>
      <c r="D7" s="2"/>
    </row>
    <row r="8" spans="1:6" ht="18" x14ac:dyDescent="0.25">
      <c r="A8" s="7" t="s">
        <v>3</v>
      </c>
      <c r="B8" s="4" t="s">
        <v>4</v>
      </c>
      <c r="C8" s="24">
        <v>5000</v>
      </c>
    </row>
    <row r="9" spans="1:6" ht="18.75" x14ac:dyDescent="0.3">
      <c r="A9" s="7" t="s">
        <v>5</v>
      </c>
      <c r="B9" s="4" t="s">
        <v>6</v>
      </c>
      <c r="C9" s="24">
        <v>20000</v>
      </c>
      <c r="D9" s="2"/>
    </row>
    <row r="10" spans="1:6" ht="18.75" x14ac:dyDescent="0.3">
      <c r="A10" s="7" t="s">
        <v>7</v>
      </c>
      <c r="B10" s="4" t="s">
        <v>8</v>
      </c>
      <c r="C10" s="21"/>
      <c r="D10" s="2"/>
    </row>
    <row r="11" spans="1:6" ht="18.75" x14ac:dyDescent="0.3">
      <c r="A11" s="7" t="s">
        <v>9</v>
      </c>
      <c r="B11" s="4" t="s">
        <v>10</v>
      </c>
      <c r="C11" s="24">
        <v>3000</v>
      </c>
      <c r="D11" s="2"/>
    </row>
    <row r="12" spans="1:6" ht="18" x14ac:dyDescent="0.25">
      <c r="A12" s="7"/>
      <c r="B12" s="4"/>
      <c r="C12" s="24"/>
    </row>
    <row r="13" spans="1:6" ht="21" x14ac:dyDescent="0.35">
      <c r="A13" s="7" t="s">
        <v>11</v>
      </c>
      <c r="B13" s="3" t="s">
        <v>12</v>
      </c>
      <c r="C13" s="23">
        <f>SUM(C14:C17)</f>
        <v>144117.59999999998</v>
      </c>
      <c r="D13" s="5"/>
    </row>
    <row r="14" spans="1:6" ht="21" x14ac:dyDescent="0.35">
      <c r="A14" s="7" t="s">
        <v>13</v>
      </c>
      <c r="B14" s="4" t="s">
        <v>14</v>
      </c>
      <c r="C14" s="24">
        <f>(C6+C7)*11.42%</f>
        <v>70575.599999999991</v>
      </c>
      <c r="D14" s="5"/>
    </row>
    <row r="15" spans="1:6" ht="21" x14ac:dyDescent="0.35">
      <c r="A15" s="7" t="s">
        <v>15</v>
      </c>
      <c r="B15" s="4" t="s">
        <v>16</v>
      </c>
      <c r="C15" s="24">
        <f>(C6+C7)*4.3%</f>
        <v>26573.999999999996</v>
      </c>
      <c r="D15" s="6"/>
    </row>
    <row r="16" spans="1:6" ht="18" x14ac:dyDescent="0.25">
      <c r="A16" s="7" t="s">
        <v>17</v>
      </c>
      <c r="B16" s="4" t="s">
        <v>18</v>
      </c>
      <c r="C16" s="24">
        <f>(C6+C7)*4.8%</f>
        <v>29664</v>
      </c>
    </row>
    <row r="17" spans="1:3" ht="18" x14ac:dyDescent="0.25">
      <c r="A17" s="7" t="s">
        <v>19</v>
      </c>
      <c r="B17" s="4" t="s">
        <v>20</v>
      </c>
      <c r="C17" s="24">
        <f>(C6+C7)*2.8%</f>
        <v>17304</v>
      </c>
    </row>
    <row r="18" spans="1:3" ht="18" x14ac:dyDescent="0.25">
      <c r="A18" s="47"/>
      <c r="B18" s="4"/>
      <c r="C18" s="24"/>
    </row>
    <row r="19" spans="1:3" ht="18" x14ac:dyDescent="0.25">
      <c r="A19" s="48" t="s">
        <v>40</v>
      </c>
      <c r="B19" s="4" t="s">
        <v>29</v>
      </c>
      <c r="C19" s="24">
        <f>SUM(C20:C29)</f>
        <v>104638</v>
      </c>
    </row>
    <row r="20" spans="1:3" ht="18" x14ac:dyDescent="0.25">
      <c r="A20" s="43" t="s">
        <v>21</v>
      </c>
      <c r="B20" s="44" t="s">
        <v>22</v>
      </c>
      <c r="C20" s="45">
        <v>35000</v>
      </c>
    </row>
    <row r="21" spans="1:3" ht="18" x14ac:dyDescent="0.25">
      <c r="A21" s="43" t="s">
        <v>41</v>
      </c>
      <c r="B21" s="44" t="s">
        <v>30</v>
      </c>
      <c r="C21" s="45"/>
    </row>
    <row r="22" spans="1:3" ht="18" x14ac:dyDescent="0.25">
      <c r="A22" s="43" t="s">
        <v>42</v>
      </c>
      <c r="B22" s="44" t="s">
        <v>31</v>
      </c>
      <c r="C22" s="45">
        <v>1000</v>
      </c>
    </row>
    <row r="23" spans="1:3" ht="18" x14ac:dyDescent="0.25">
      <c r="A23" s="7" t="s">
        <v>23</v>
      </c>
      <c r="B23" s="12" t="s">
        <v>24</v>
      </c>
      <c r="C23" s="21"/>
    </row>
    <row r="24" spans="1:3" ht="18" x14ac:dyDescent="0.25">
      <c r="A24" s="7" t="s">
        <v>32</v>
      </c>
      <c r="B24" s="12" t="s">
        <v>33</v>
      </c>
      <c r="C24" s="24">
        <v>10000</v>
      </c>
    </row>
    <row r="25" spans="1:3" ht="18" x14ac:dyDescent="0.25">
      <c r="A25" s="7" t="s">
        <v>34</v>
      </c>
      <c r="B25" s="4" t="s">
        <v>35</v>
      </c>
      <c r="C25" s="24">
        <v>16638</v>
      </c>
    </row>
    <row r="26" spans="1:3" ht="18" x14ac:dyDescent="0.25">
      <c r="A26" s="42" t="s">
        <v>44</v>
      </c>
      <c r="B26" s="12" t="s">
        <v>25</v>
      </c>
      <c r="C26" s="24">
        <v>30000</v>
      </c>
    </row>
    <row r="27" spans="1:3" ht="18" x14ac:dyDescent="0.25">
      <c r="A27" s="42" t="s">
        <v>36</v>
      </c>
      <c r="B27" s="12" t="s">
        <v>37</v>
      </c>
      <c r="C27" s="24">
        <v>10000</v>
      </c>
    </row>
    <row r="28" spans="1:3" ht="18" x14ac:dyDescent="0.25">
      <c r="A28" s="42" t="s">
        <v>45</v>
      </c>
      <c r="B28" s="12" t="s">
        <v>38</v>
      </c>
      <c r="C28" s="24">
        <v>2000</v>
      </c>
    </row>
    <row r="29" spans="1:3" ht="18" x14ac:dyDescent="0.25">
      <c r="A29" s="42" t="s">
        <v>46</v>
      </c>
      <c r="B29" s="12" t="s">
        <v>49</v>
      </c>
      <c r="C29" s="24"/>
    </row>
    <row r="30" spans="1:3" ht="18" x14ac:dyDescent="0.25">
      <c r="A30" s="42" t="s">
        <v>47</v>
      </c>
      <c r="B30" s="12" t="s">
        <v>50</v>
      </c>
      <c r="C30" s="24">
        <v>300</v>
      </c>
    </row>
    <row r="31" spans="1:3" ht="18" x14ac:dyDescent="0.25">
      <c r="A31" s="7" t="s">
        <v>48</v>
      </c>
      <c r="B31" s="12" t="s">
        <v>51</v>
      </c>
      <c r="C31" s="24"/>
    </row>
    <row r="32" spans="1:3" ht="18" x14ac:dyDescent="0.25">
      <c r="A32" s="7" t="s">
        <v>90</v>
      </c>
      <c r="B32" s="12" t="s">
        <v>88</v>
      </c>
      <c r="C32" s="24">
        <v>1200</v>
      </c>
    </row>
    <row r="33" spans="1:4" ht="18" x14ac:dyDescent="0.25">
      <c r="A33" s="7" t="s">
        <v>91</v>
      </c>
      <c r="B33" s="12" t="s">
        <v>89</v>
      </c>
      <c r="C33" s="24">
        <v>3000</v>
      </c>
    </row>
    <row r="34" spans="1:4" ht="18" x14ac:dyDescent="0.25">
      <c r="A34" s="13" t="s">
        <v>26</v>
      </c>
      <c r="B34" s="12" t="s">
        <v>27</v>
      </c>
      <c r="C34" s="25">
        <v>15985</v>
      </c>
    </row>
    <row r="35" spans="1:4" ht="18" x14ac:dyDescent="0.25">
      <c r="C35" s="24"/>
    </row>
    <row r="36" spans="1:4" ht="18" x14ac:dyDescent="0.25">
      <c r="B36" t="s">
        <v>28</v>
      </c>
      <c r="C36" s="50">
        <f>C6+C7+C13+C19+C30+C31+C32+C33</f>
        <v>871255.6</v>
      </c>
    </row>
    <row r="37" spans="1:4" ht="18" x14ac:dyDescent="0.25">
      <c r="C37" s="50"/>
    </row>
    <row r="38" spans="1:4" ht="18.75" x14ac:dyDescent="0.3">
      <c r="A38" s="1" t="s">
        <v>53</v>
      </c>
    </row>
    <row r="39" spans="1:4" ht="18" customHeight="1" x14ac:dyDescent="0.25">
      <c r="B39" s="78" t="s">
        <v>130</v>
      </c>
      <c r="C39" s="78"/>
      <c r="D39" s="78"/>
    </row>
    <row r="40" spans="1:4" s="28" customFormat="1" x14ac:dyDescent="0.25">
      <c r="A40" s="74" t="s">
        <v>128</v>
      </c>
      <c r="B40" s="77" t="s">
        <v>126</v>
      </c>
      <c r="C40" s="77"/>
      <c r="D40" s="76">
        <v>17576.099999999999</v>
      </c>
    </row>
    <row r="41" spans="1:4" s="28" customFormat="1" x14ac:dyDescent="0.25">
      <c r="A41" s="75" t="s">
        <v>129</v>
      </c>
      <c r="B41" s="77" t="s">
        <v>131</v>
      </c>
      <c r="C41" s="77"/>
      <c r="D41" s="76">
        <v>186.51</v>
      </c>
    </row>
    <row r="42" spans="1:4" s="28" customFormat="1" x14ac:dyDescent="0.25">
      <c r="B42" s="77" t="s">
        <v>127</v>
      </c>
      <c r="C42" s="77"/>
      <c r="D42" s="76">
        <v>3.2</v>
      </c>
    </row>
    <row r="43" spans="1:4" s="28" customFormat="1" ht="18" x14ac:dyDescent="0.25">
      <c r="B43" s="27"/>
      <c r="C43" s="36"/>
    </row>
    <row r="44" spans="1:4" s="28" customFormat="1" ht="18" x14ac:dyDescent="0.25">
      <c r="B44" s="27"/>
      <c r="C44" s="36"/>
    </row>
    <row r="45" spans="1:4" s="28" customFormat="1" ht="18" x14ac:dyDescent="0.25">
      <c r="B45" s="26">
        <f>810494-40437.95+101200</f>
        <v>871256.05</v>
      </c>
      <c r="C45" s="36"/>
    </row>
    <row r="46" spans="1:4" s="28" customFormat="1" ht="18" x14ac:dyDescent="0.25">
      <c r="B46" s="27"/>
      <c r="C46" s="36"/>
    </row>
    <row r="47" spans="1:4" s="28" customFormat="1" ht="18" x14ac:dyDescent="0.25">
      <c r="B47" s="27"/>
      <c r="C47" s="36"/>
    </row>
    <row r="48" spans="1:4" s="28" customFormat="1" ht="18" x14ac:dyDescent="0.25">
      <c r="B48" s="27"/>
      <c r="C48" s="36"/>
    </row>
    <row r="49" spans="1:3" s="28" customFormat="1" ht="18" x14ac:dyDescent="0.25">
      <c r="B49" s="27"/>
      <c r="C49" s="36"/>
    </row>
    <row r="50" spans="1:3" s="28" customFormat="1" ht="18" x14ac:dyDescent="0.25">
      <c r="B50" s="27"/>
      <c r="C50" s="36"/>
    </row>
    <row r="51" spans="1:3" s="28" customFormat="1" ht="18" x14ac:dyDescent="0.25">
      <c r="B51" s="27"/>
      <c r="C51" s="36"/>
    </row>
    <row r="52" spans="1:3" s="28" customFormat="1" ht="18" x14ac:dyDescent="0.25">
      <c r="B52" s="27"/>
      <c r="C52" s="36"/>
    </row>
    <row r="53" spans="1:3" s="28" customFormat="1" ht="18" x14ac:dyDescent="0.25">
      <c r="B53" s="27"/>
      <c r="C53" s="36"/>
    </row>
    <row r="54" spans="1:3" s="28" customFormat="1" ht="18" x14ac:dyDescent="0.25">
      <c r="B54" s="27"/>
      <c r="C54" s="36"/>
    </row>
    <row r="55" spans="1:3" s="28" customFormat="1" ht="18" x14ac:dyDescent="0.25">
      <c r="C55" s="33"/>
    </row>
    <row r="56" spans="1:3" s="28" customFormat="1" ht="18" x14ac:dyDescent="0.25">
      <c r="C56" s="35"/>
    </row>
    <row r="57" spans="1:3" s="28" customFormat="1" ht="18" x14ac:dyDescent="0.25">
      <c r="C57" s="35"/>
    </row>
    <row r="58" spans="1:3" s="28" customFormat="1" ht="18" x14ac:dyDescent="0.25">
      <c r="A58" s="39"/>
      <c r="C58" s="40"/>
    </row>
    <row r="59" spans="1:3" s="28" customFormat="1" x14ac:dyDescent="0.25">
      <c r="C59" s="41"/>
    </row>
    <row r="60" spans="1:3" s="28" customFormat="1" ht="18" x14ac:dyDescent="0.25">
      <c r="A60" s="38"/>
      <c r="B60" s="27"/>
      <c r="C60" s="27"/>
    </row>
    <row r="61" spans="1:3" s="28" customFormat="1" ht="18" x14ac:dyDescent="0.25">
      <c r="B61" s="27"/>
      <c r="C61" s="27"/>
    </row>
    <row r="62" spans="1:3" s="28" customFormat="1" ht="18" x14ac:dyDescent="0.25">
      <c r="B62" s="27"/>
      <c r="C62" s="27"/>
    </row>
    <row r="63" spans="1:3" s="28" customFormat="1" ht="18" x14ac:dyDescent="0.25">
      <c r="A63" s="38"/>
      <c r="B63" s="27"/>
      <c r="C63" s="27"/>
    </row>
    <row r="64" spans="1:3" s="28" customFormat="1" ht="18" x14ac:dyDescent="0.25">
      <c r="A64" s="38"/>
      <c r="B64" s="27"/>
      <c r="C64" s="27"/>
    </row>
    <row r="65" spans="1:3" s="28" customFormat="1" ht="18" x14ac:dyDescent="0.25">
      <c r="A65" s="38"/>
      <c r="B65" s="27"/>
      <c r="C65" s="27"/>
    </row>
    <row r="66" spans="1:3" s="28" customFormat="1" ht="18" x14ac:dyDescent="0.25">
      <c r="A66" s="38"/>
      <c r="B66" s="27"/>
      <c r="C66" s="27"/>
    </row>
    <row r="67" spans="1:3" s="28" customFormat="1" x14ac:dyDescent="0.25"/>
  </sheetData>
  <mergeCells count="6">
    <mergeCell ref="B42:C42"/>
    <mergeCell ref="B39:D39"/>
    <mergeCell ref="A5:B5"/>
    <mergeCell ref="A6:A7"/>
    <mergeCell ref="B40:C40"/>
    <mergeCell ref="B41:C41"/>
  </mergeCells>
  <pageMargins left="1.1023622047244095" right="0.70866141732283472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view="pageBreakPreview" topLeftCell="A10" zoomScale="60" zoomScaleNormal="100" workbookViewId="0">
      <selection activeCell="D38" sqref="D38"/>
    </sheetView>
  </sheetViews>
  <sheetFormatPr defaultRowHeight="18.75" x14ac:dyDescent="0.3"/>
  <cols>
    <col min="1" max="1" width="29.1406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.85546875" customWidth="1"/>
    <col min="7" max="7" width="11.42578125" style="1" customWidth="1"/>
    <col min="8" max="8" width="10.5703125" bestFit="1" customWidth="1"/>
    <col min="10" max="10" width="10.5703125" customWidth="1"/>
  </cols>
  <sheetData>
    <row r="1" spans="1:10" x14ac:dyDescent="0.3">
      <c r="B1" s="1" t="s">
        <v>72</v>
      </c>
      <c r="C1" s="1"/>
      <c r="D1" s="1"/>
      <c r="E1" s="1"/>
    </row>
    <row r="2" spans="1:10" x14ac:dyDescent="0.3">
      <c r="B2" s="1" t="s">
        <v>52</v>
      </c>
      <c r="C2" s="1"/>
      <c r="D2" s="1"/>
      <c r="E2" s="1"/>
    </row>
    <row r="3" spans="1:10" x14ac:dyDescent="0.3">
      <c r="B3" s="1" t="s">
        <v>73</v>
      </c>
      <c r="C3" s="1"/>
      <c r="D3" s="1"/>
      <c r="E3" s="1"/>
    </row>
    <row r="4" spans="1:10" ht="19.5" thickBot="1" x14ac:dyDescent="0.35">
      <c r="F4" s="1"/>
      <c r="H4" s="1"/>
    </row>
    <row r="5" spans="1:10" ht="63.75" thickBot="1" x14ac:dyDescent="0.4">
      <c r="A5" s="79" t="s">
        <v>43</v>
      </c>
      <c r="B5" s="80"/>
      <c r="C5" s="8" t="s">
        <v>71</v>
      </c>
      <c r="D5" s="8" t="s">
        <v>74</v>
      </c>
      <c r="E5" s="9" t="s">
        <v>70</v>
      </c>
      <c r="F5" s="10" t="s">
        <v>39</v>
      </c>
      <c r="G5" s="2"/>
      <c r="H5" s="2"/>
      <c r="J5" s="51"/>
    </row>
    <row r="6" spans="1:10" x14ac:dyDescent="0.3">
      <c r="A6" s="81" t="s">
        <v>0</v>
      </c>
      <c r="B6" s="11" t="s">
        <v>1</v>
      </c>
      <c r="C6" s="22">
        <v>590000</v>
      </c>
      <c r="D6" s="22">
        <f>C6</f>
        <v>590000</v>
      </c>
      <c r="E6" s="18"/>
      <c r="F6" s="14">
        <f>D6-E6</f>
        <v>590000</v>
      </c>
      <c r="G6" s="2"/>
    </row>
    <row r="7" spans="1:10" x14ac:dyDescent="0.3">
      <c r="A7" s="82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0</v>
      </c>
      <c r="F7" s="15">
        <f t="shared" ref="F7:F34" si="1">D7-E7</f>
        <v>28000</v>
      </c>
      <c r="G7" s="2"/>
      <c r="H7" s="2"/>
    </row>
    <row r="8" spans="1:10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/>
      <c r="F8" s="16">
        <f t="shared" si="1"/>
        <v>5000</v>
      </c>
    </row>
    <row r="9" spans="1:10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/>
      <c r="F9" s="16">
        <f t="shared" si="1"/>
        <v>20000</v>
      </c>
      <c r="G9" s="2"/>
      <c r="H9" s="2"/>
    </row>
    <row r="10" spans="1:10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G10" s="2"/>
      <c r="H10" s="2"/>
    </row>
    <row r="11" spans="1:10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/>
      <c r="F11" s="16">
        <f t="shared" si="1"/>
        <v>3000</v>
      </c>
      <c r="G11" s="2"/>
      <c r="H11" s="2"/>
    </row>
    <row r="12" spans="1:10" x14ac:dyDescent="0.3">
      <c r="A12" s="7"/>
      <c r="B12" s="4"/>
      <c r="C12" s="24"/>
      <c r="D12" s="22">
        <f t="shared" si="0"/>
        <v>0</v>
      </c>
      <c r="E12" s="19"/>
      <c r="F12" s="16"/>
    </row>
    <row r="13" spans="1:10" ht="21" x14ac:dyDescent="0.35">
      <c r="A13" s="7" t="s">
        <v>11</v>
      </c>
      <c r="B13" s="3" t="s">
        <v>12</v>
      </c>
      <c r="C13" s="23">
        <f>SUM(C14:C17)</f>
        <v>144117.59999999998</v>
      </c>
      <c r="D13" s="22">
        <f t="shared" si="0"/>
        <v>144117.59999999998</v>
      </c>
      <c r="E13" s="23">
        <f>SUM(E14:E17)</f>
        <v>0</v>
      </c>
      <c r="F13" s="15">
        <f>D13-E13</f>
        <v>144117.59999999998</v>
      </c>
      <c r="H13" s="5"/>
    </row>
    <row r="14" spans="1:10" ht="21" x14ac:dyDescent="0.35">
      <c r="A14" s="7" t="s">
        <v>13</v>
      </c>
      <c r="B14" s="4" t="s">
        <v>14</v>
      </c>
      <c r="C14" s="24">
        <f>(C6+C7)*11.42%</f>
        <v>70575.599999999991</v>
      </c>
      <c r="D14" s="22">
        <f t="shared" si="0"/>
        <v>70575.599999999991</v>
      </c>
      <c r="E14" s="19"/>
      <c r="F14" s="16">
        <f>D14-E14</f>
        <v>70575.599999999991</v>
      </c>
      <c r="H14" s="5"/>
    </row>
    <row r="15" spans="1:10" ht="21" x14ac:dyDescent="0.35">
      <c r="A15" s="7" t="s">
        <v>15</v>
      </c>
      <c r="B15" s="4" t="s">
        <v>16</v>
      </c>
      <c r="C15" s="24">
        <f>(C6+C7)*4.3%</f>
        <v>26573.999999999996</v>
      </c>
      <c r="D15" s="22">
        <f t="shared" si="0"/>
        <v>26573.999999999996</v>
      </c>
      <c r="E15" s="19"/>
      <c r="F15" s="16">
        <f>D15-E15</f>
        <v>26573.999999999996</v>
      </c>
      <c r="H15" s="6"/>
    </row>
    <row r="16" spans="1:10" x14ac:dyDescent="0.3">
      <c r="A16" s="7" t="s">
        <v>17</v>
      </c>
      <c r="B16" s="4" t="s">
        <v>18</v>
      </c>
      <c r="C16" s="24">
        <f>(C6+C7)*4.8%</f>
        <v>29664</v>
      </c>
      <c r="D16" s="22">
        <f t="shared" si="0"/>
        <v>29664</v>
      </c>
      <c r="E16" s="19"/>
      <c r="F16" s="16">
        <f t="shared" ref="F16:F17" si="2">D16-E16</f>
        <v>29664</v>
      </c>
    </row>
    <row r="17" spans="1:7" x14ac:dyDescent="0.3">
      <c r="A17" s="7" t="s">
        <v>19</v>
      </c>
      <c r="B17" s="4" t="s">
        <v>20</v>
      </c>
      <c r="C17" s="24">
        <f>(C6+C7)*2.8%</f>
        <v>17304</v>
      </c>
      <c r="D17" s="22">
        <f t="shared" si="0"/>
        <v>17304</v>
      </c>
      <c r="E17" s="19"/>
      <c r="F17" s="16">
        <f t="shared" si="2"/>
        <v>17304</v>
      </c>
    </row>
    <row r="18" spans="1:7" x14ac:dyDescent="0.3">
      <c r="A18" s="47"/>
      <c r="B18" s="4"/>
      <c r="C18" s="24"/>
      <c r="D18" s="22">
        <f t="shared" si="0"/>
        <v>0</v>
      </c>
      <c r="E18" s="19"/>
      <c r="F18" s="16"/>
    </row>
    <row r="19" spans="1:7" x14ac:dyDescent="0.3">
      <c r="A19" s="48" t="s">
        <v>40</v>
      </c>
      <c r="B19" s="4" t="s">
        <v>29</v>
      </c>
      <c r="C19" s="24">
        <f>SUM(C20:C29)</f>
        <v>104638</v>
      </c>
      <c r="D19" s="22">
        <f t="shared" si="0"/>
        <v>104638</v>
      </c>
      <c r="E19" s="17">
        <f>SUM(E20:E29)</f>
        <v>4474.09</v>
      </c>
      <c r="F19" s="15">
        <f t="shared" si="1"/>
        <v>100163.91</v>
      </c>
      <c r="G19" s="52"/>
    </row>
    <row r="20" spans="1:7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v>3246</v>
      </c>
      <c r="F20" s="16">
        <f>D20-E20</f>
        <v>31754</v>
      </c>
    </row>
    <row r="21" spans="1:7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</row>
    <row r="22" spans="1:7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</row>
    <row r="23" spans="1:7" x14ac:dyDescent="0.3">
      <c r="A23" s="7" t="s">
        <v>23</v>
      </c>
      <c r="B23" s="12" t="s">
        <v>24</v>
      </c>
      <c r="C23" s="21"/>
      <c r="D23" s="22">
        <f t="shared" si="0"/>
        <v>0</v>
      </c>
      <c r="E23" s="19"/>
      <c r="F23" s="16">
        <f t="shared" si="1"/>
        <v>0</v>
      </c>
    </row>
    <row r="24" spans="1:7" x14ac:dyDescent="0.3">
      <c r="A24" s="7" t="s">
        <v>32</v>
      </c>
      <c r="B24" s="12" t="s">
        <v>33</v>
      </c>
      <c r="C24" s="24">
        <v>10000</v>
      </c>
      <c r="D24" s="22">
        <f t="shared" si="0"/>
        <v>10000</v>
      </c>
      <c r="E24" s="19">
        <v>410.08</v>
      </c>
      <c r="F24" s="16">
        <f>D24-E24</f>
        <v>9589.92</v>
      </c>
    </row>
    <row r="25" spans="1:7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v>233.79</v>
      </c>
      <c r="F25" s="16">
        <f>D25-E25</f>
        <v>16404.21</v>
      </c>
    </row>
    <row r="26" spans="1:7" x14ac:dyDescent="0.3">
      <c r="A26" s="42" t="s">
        <v>44</v>
      </c>
      <c r="B26" s="12" t="s">
        <v>25</v>
      </c>
      <c r="C26" s="24">
        <v>30000</v>
      </c>
      <c r="D26" s="22">
        <f t="shared" si="0"/>
        <v>30000</v>
      </c>
      <c r="E26" s="19">
        <v>584.22</v>
      </c>
      <c r="F26" s="15">
        <f t="shared" si="1"/>
        <v>29415.78</v>
      </c>
    </row>
    <row r="27" spans="1:7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</row>
    <row r="28" spans="1:7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/>
      <c r="F28" s="16">
        <f t="shared" si="1"/>
        <v>2000</v>
      </c>
    </row>
    <row r="29" spans="1:7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</row>
    <row r="30" spans="1:7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/>
      <c r="F30" s="16">
        <f t="shared" si="1"/>
        <v>300</v>
      </c>
    </row>
    <row r="31" spans="1:7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</row>
    <row r="32" spans="1:7" ht="18" x14ac:dyDescent="0.25">
      <c r="A32" s="7" t="s">
        <v>90</v>
      </c>
      <c r="B32" s="12" t="s">
        <v>88</v>
      </c>
      <c r="C32" s="24">
        <v>1200</v>
      </c>
      <c r="D32" s="22">
        <f t="shared" si="0"/>
        <v>1200</v>
      </c>
      <c r="E32" s="7"/>
      <c r="F32" s="7"/>
      <c r="G32"/>
    </row>
    <row r="33" spans="1:7" ht="18" x14ac:dyDescent="0.25">
      <c r="A33" s="7" t="s">
        <v>91</v>
      </c>
      <c r="B33" s="12" t="s">
        <v>89</v>
      </c>
      <c r="C33" s="24">
        <v>3000</v>
      </c>
      <c r="D33" s="22">
        <f t="shared" si="0"/>
        <v>3000</v>
      </c>
      <c r="E33" s="7"/>
      <c r="F33" s="7"/>
      <c r="G33"/>
    </row>
    <row r="34" spans="1:7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</row>
    <row r="35" spans="1:7" x14ac:dyDescent="0.3">
      <c r="C35" s="24"/>
      <c r="D35" s="24"/>
      <c r="E35" s="19"/>
      <c r="F35" s="16"/>
    </row>
    <row r="36" spans="1:7" x14ac:dyDescent="0.3">
      <c r="B36" t="s">
        <v>28</v>
      </c>
      <c r="C36" s="26">
        <f>C6+C7+C13+C19+C30+C31+C32+C33</f>
        <v>871255.6</v>
      </c>
      <c r="D36" s="26">
        <f>D6+D7+D13+D19+D30+D31+D32+D33</f>
        <v>871255.6</v>
      </c>
      <c r="E36" s="55">
        <f>E6+E7+E13+E19+E30+E31</f>
        <v>4474.09</v>
      </c>
      <c r="F36" s="55">
        <f>F6+F7+F13+F19+F30+F31</f>
        <v>862581.51</v>
      </c>
    </row>
    <row r="37" spans="1:7" x14ac:dyDescent="0.3">
      <c r="C37" s="50"/>
      <c r="D37" s="50"/>
      <c r="E37" s="20"/>
    </row>
    <row r="38" spans="1:7" x14ac:dyDescent="0.3">
      <c r="A38" s="1" t="s">
        <v>53</v>
      </c>
      <c r="C38" s="50"/>
      <c r="D38" s="50"/>
      <c r="E38" s="56" t="s">
        <v>54</v>
      </c>
      <c r="G38" s="2"/>
    </row>
    <row r="39" spans="1:7" x14ac:dyDescent="0.3">
      <c r="C39" s="50"/>
      <c r="D39" s="50"/>
      <c r="E39" s="20"/>
      <c r="G39" s="2"/>
    </row>
    <row r="40" spans="1:7" s="28" customFormat="1" x14ac:dyDescent="0.3">
      <c r="E40" s="29"/>
      <c r="G40" s="53"/>
    </row>
    <row r="41" spans="1:7" s="28" customFormat="1" ht="21" x14ac:dyDescent="0.35">
      <c r="A41" s="83"/>
      <c r="B41" s="83"/>
      <c r="C41" s="30"/>
      <c r="D41" s="30"/>
      <c r="E41" s="31"/>
      <c r="F41" s="32"/>
      <c r="G41" s="53"/>
    </row>
    <row r="42" spans="1:7" s="28" customFormat="1" x14ac:dyDescent="0.3">
      <c r="B42" s="27"/>
      <c r="C42" s="33"/>
      <c r="D42" s="33"/>
      <c r="E42" s="34"/>
      <c r="F42" s="35"/>
      <c r="G42" s="53"/>
    </row>
    <row r="43" spans="1:7" s="28" customFormat="1" x14ac:dyDescent="0.3">
      <c r="B43" s="27"/>
      <c r="C43" s="36"/>
      <c r="D43" s="36"/>
      <c r="E43" s="37"/>
      <c r="F43" s="35"/>
      <c r="G43" s="53"/>
    </row>
    <row r="44" spans="1:7" s="28" customFormat="1" x14ac:dyDescent="0.3">
      <c r="B44" s="27"/>
      <c r="C44" s="36"/>
      <c r="D44" s="36"/>
      <c r="E44" s="37"/>
      <c r="F44" s="35"/>
      <c r="G44" s="53"/>
    </row>
    <row r="45" spans="1:7" s="28" customFormat="1" x14ac:dyDescent="0.3">
      <c r="B45" s="27"/>
      <c r="C45" s="36"/>
      <c r="D45" s="36"/>
      <c r="E45" s="37"/>
      <c r="F45" s="35"/>
      <c r="G45" s="53"/>
    </row>
    <row r="46" spans="1:7" s="28" customFormat="1" x14ac:dyDescent="0.3">
      <c r="B46" s="27"/>
      <c r="C46" s="36"/>
      <c r="D46" s="36"/>
      <c r="E46" s="37"/>
      <c r="F46" s="35"/>
      <c r="G46" s="53"/>
    </row>
    <row r="47" spans="1:7" s="28" customFormat="1" x14ac:dyDescent="0.3">
      <c r="B47" s="27"/>
      <c r="C47" s="36"/>
      <c r="D47" s="36"/>
      <c r="E47" s="37"/>
      <c r="F47" s="35"/>
      <c r="G47" s="53"/>
    </row>
    <row r="48" spans="1:7" s="28" customFormat="1" x14ac:dyDescent="0.3">
      <c r="B48" s="27"/>
      <c r="C48" s="36"/>
      <c r="D48" s="36"/>
      <c r="E48" s="37"/>
      <c r="F48" s="35"/>
      <c r="G48" s="53"/>
    </row>
    <row r="49" spans="1:7" s="28" customFormat="1" x14ac:dyDescent="0.3">
      <c r="B49" s="27"/>
      <c r="C49" s="36"/>
      <c r="D49" s="36"/>
      <c r="E49" s="37"/>
      <c r="F49" s="35"/>
      <c r="G49" s="53"/>
    </row>
    <row r="50" spans="1:7" s="28" customFormat="1" x14ac:dyDescent="0.3">
      <c r="B50" s="27"/>
      <c r="C50" s="36"/>
      <c r="D50" s="36"/>
      <c r="E50" s="37"/>
      <c r="F50" s="35"/>
      <c r="G50" s="54"/>
    </row>
    <row r="51" spans="1:7" s="28" customFormat="1" x14ac:dyDescent="0.3">
      <c r="B51" s="27"/>
      <c r="C51" s="36"/>
      <c r="D51" s="36"/>
      <c r="E51" s="37"/>
      <c r="F51" s="35"/>
      <c r="G51" s="53"/>
    </row>
    <row r="52" spans="1:7" s="28" customFormat="1" x14ac:dyDescent="0.3">
      <c r="B52" s="27"/>
      <c r="C52" s="36"/>
      <c r="D52" s="36"/>
      <c r="E52" s="37"/>
      <c r="F52" s="35"/>
      <c r="G52" s="53"/>
    </row>
    <row r="53" spans="1:7" s="28" customFormat="1" x14ac:dyDescent="0.3">
      <c r="B53" s="27"/>
      <c r="C53" s="36"/>
      <c r="D53" s="36"/>
      <c r="E53" s="37"/>
      <c r="F53" s="35"/>
      <c r="G53" s="53"/>
    </row>
    <row r="54" spans="1:7" s="28" customFormat="1" x14ac:dyDescent="0.3">
      <c r="B54" s="27"/>
      <c r="C54" s="36"/>
      <c r="D54" s="36"/>
      <c r="E54" s="37"/>
      <c r="F54" s="35"/>
      <c r="G54" s="53"/>
    </row>
    <row r="55" spans="1:7" s="28" customFormat="1" x14ac:dyDescent="0.3">
      <c r="C55" s="33"/>
      <c r="D55" s="33"/>
      <c r="E55" s="34"/>
      <c r="F55" s="35"/>
      <c r="G55" s="53"/>
    </row>
    <row r="56" spans="1:7" s="28" customFormat="1" x14ac:dyDescent="0.3">
      <c r="C56" s="35"/>
      <c r="D56" s="35"/>
      <c r="E56" s="34"/>
      <c r="F56" s="35"/>
      <c r="G56" s="53"/>
    </row>
    <row r="57" spans="1:7" s="28" customFormat="1" x14ac:dyDescent="0.3">
      <c r="C57" s="35"/>
      <c r="D57" s="35"/>
      <c r="E57" s="34"/>
      <c r="F57" s="35"/>
      <c r="G57" s="53"/>
    </row>
    <row r="58" spans="1:7" s="28" customFormat="1" x14ac:dyDescent="0.3">
      <c r="A58" s="39"/>
      <c r="C58" s="40"/>
      <c r="D58" s="40"/>
      <c r="E58" s="27"/>
      <c r="G58" s="53"/>
    </row>
    <row r="59" spans="1:7" s="28" customFormat="1" x14ac:dyDescent="0.3">
      <c r="C59" s="41"/>
      <c r="D59" s="41"/>
      <c r="E59" s="41"/>
      <c r="G59" s="53"/>
    </row>
    <row r="60" spans="1:7" s="28" customFormat="1" x14ac:dyDescent="0.3">
      <c r="A60" s="38"/>
      <c r="B60" s="27"/>
      <c r="C60" s="27"/>
      <c r="D60" s="27"/>
      <c r="E60" s="27"/>
      <c r="G60" s="53"/>
    </row>
    <row r="61" spans="1:7" s="28" customFormat="1" x14ac:dyDescent="0.3">
      <c r="B61" s="27"/>
      <c r="C61" s="27"/>
      <c r="D61" s="27"/>
      <c r="E61" s="27"/>
      <c r="G61" s="53"/>
    </row>
    <row r="62" spans="1:7" s="28" customFormat="1" x14ac:dyDescent="0.3">
      <c r="B62" s="27"/>
      <c r="C62" s="27"/>
      <c r="D62" s="27"/>
      <c r="E62" s="27"/>
      <c r="G62" s="53"/>
    </row>
    <row r="63" spans="1:7" s="28" customFormat="1" x14ac:dyDescent="0.3">
      <c r="A63" s="38"/>
      <c r="B63" s="27"/>
      <c r="C63" s="27"/>
      <c r="D63" s="27"/>
      <c r="E63" s="27"/>
      <c r="G63" s="53"/>
    </row>
    <row r="64" spans="1:7" s="28" customFormat="1" x14ac:dyDescent="0.3">
      <c r="A64" s="38"/>
      <c r="B64" s="27"/>
      <c r="C64" s="27"/>
      <c r="D64" s="27"/>
      <c r="E64" s="27"/>
      <c r="G64" s="53"/>
    </row>
    <row r="65" spans="1:7" s="28" customFormat="1" x14ac:dyDescent="0.3">
      <c r="A65" s="38"/>
      <c r="B65" s="27"/>
      <c r="C65" s="27"/>
      <c r="D65" s="27"/>
      <c r="E65" s="27"/>
      <c r="G65" s="53"/>
    </row>
    <row r="66" spans="1:7" s="28" customFormat="1" x14ac:dyDescent="0.3">
      <c r="A66" s="38"/>
      <c r="B66" s="27"/>
      <c r="C66" s="27"/>
      <c r="D66" s="27"/>
      <c r="E66" s="27"/>
      <c r="G66" s="53"/>
    </row>
    <row r="67" spans="1:7" s="28" customFormat="1" x14ac:dyDescent="0.3">
      <c r="G67" s="53"/>
    </row>
  </sheetData>
  <mergeCells count="3">
    <mergeCell ref="A5:B5"/>
    <mergeCell ref="A6:A7"/>
    <mergeCell ref="A41:B41"/>
  </mergeCells>
  <pageMargins left="0.9055118110236221" right="0.70866141732283472" top="0.74803149606299213" bottom="0.74803149606299213" header="0.31496062992125984" footer="0.31496062992125984"/>
  <pageSetup paperSize="9" scale="84" orientation="portrait" r:id="rId1"/>
  <colBreaks count="1" manualBreakCount="1">
    <brk id="6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view="pageBreakPreview" topLeftCell="A16" zoomScale="60" zoomScaleNormal="100" workbookViewId="0">
      <selection activeCell="H17" sqref="H17"/>
    </sheetView>
  </sheetViews>
  <sheetFormatPr defaultRowHeight="18.75" x14ac:dyDescent="0.3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11.42578125" style="1" customWidth="1"/>
    <col min="8" max="8" width="10.5703125" bestFit="1" customWidth="1"/>
    <col min="10" max="10" width="10.5703125" customWidth="1"/>
  </cols>
  <sheetData>
    <row r="1" spans="1:10" x14ac:dyDescent="0.3">
      <c r="B1" s="1" t="s">
        <v>76</v>
      </c>
      <c r="C1" s="1"/>
      <c r="D1" s="1"/>
      <c r="E1" s="1"/>
    </row>
    <row r="2" spans="1:10" x14ac:dyDescent="0.3">
      <c r="B2" s="1" t="s">
        <v>52</v>
      </c>
      <c r="C2" s="1"/>
      <c r="D2" s="1"/>
      <c r="E2" s="1"/>
    </row>
    <row r="3" spans="1:10" x14ac:dyDescent="0.3">
      <c r="B3" s="1"/>
      <c r="C3" s="1"/>
      <c r="D3" s="1"/>
      <c r="E3" s="1"/>
    </row>
    <row r="4" spans="1:10" ht="19.5" thickBot="1" x14ac:dyDescent="0.35">
      <c r="F4" s="1"/>
      <c r="H4" s="1"/>
    </row>
    <row r="5" spans="1:10" ht="63.75" thickBot="1" x14ac:dyDescent="0.4">
      <c r="A5" s="79" t="s">
        <v>77</v>
      </c>
      <c r="B5" s="80"/>
      <c r="C5" s="8" t="s">
        <v>71</v>
      </c>
      <c r="D5" s="8" t="s">
        <v>74</v>
      </c>
      <c r="E5" s="64" t="s">
        <v>75</v>
      </c>
      <c r="F5" s="10" t="s">
        <v>39</v>
      </c>
      <c r="G5" s="2"/>
      <c r="H5" s="2"/>
      <c r="J5" s="51"/>
    </row>
    <row r="6" spans="1:10" x14ac:dyDescent="0.3">
      <c r="A6" s="81" t="s">
        <v>0</v>
      </c>
      <c r="B6" s="11" t="s">
        <v>1</v>
      </c>
      <c r="C6" s="22">
        <v>590000</v>
      </c>
      <c r="D6" s="22">
        <f>C6</f>
        <v>590000</v>
      </c>
      <c r="E6" s="18">
        <f>39656.85</f>
        <v>39656.85</v>
      </c>
      <c r="F6" s="14">
        <f>D6-E6</f>
        <v>550343.15</v>
      </c>
      <c r="G6" s="2"/>
    </row>
    <row r="7" spans="1:10" x14ac:dyDescent="0.3">
      <c r="A7" s="82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1817.3</v>
      </c>
      <c r="F7" s="15">
        <f t="shared" ref="F7:F35" si="1">D7-E7</f>
        <v>26182.7</v>
      </c>
      <c r="G7" s="2"/>
      <c r="H7" s="2"/>
    </row>
    <row r="8" spans="1:10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</f>
        <v>750</v>
      </c>
      <c r="F8" s="16">
        <f t="shared" si="1"/>
        <v>4250</v>
      </c>
    </row>
    <row r="9" spans="1:10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</f>
        <v>750.22</v>
      </c>
      <c r="F9" s="16">
        <f t="shared" si="1"/>
        <v>19249.78</v>
      </c>
      <c r="G9" s="2"/>
      <c r="H9" s="2"/>
    </row>
    <row r="10" spans="1:10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G10" s="2"/>
      <c r="H10" s="2"/>
    </row>
    <row r="11" spans="1:10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</f>
        <v>317.08</v>
      </c>
      <c r="F11" s="16">
        <f t="shared" si="1"/>
        <v>2682.92</v>
      </c>
      <c r="G11" s="2"/>
      <c r="H11" s="2"/>
    </row>
    <row r="12" spans="1:10" x14ac:dyDescent="0.3">
      <c r="A12" s="7"/>
      <c r="B12" s="4"/>
      <c r="C12" s="24"/>
      <c r="D12" s="22">
        <f t="shared" si="0"/>
        <v>0</v>
      </c>
      <c r="E12" s="19"/>
      <c r="F12" s="16"/>
    </row>
    <row r="13" spans="1:10" ht="21" x14ac:dyDescent="0.35">
      <c r="A13" s="7" t="s">
        <v>11</v>
      </c>
      <c r="B13" s="3" t="s">
        <v>12</v>
      </c>
      <c r="C13" s="23">
        <f>SUM(C14:C17)</f>
        <v>144117.59999999998</v>
      </c>
      <c r="D13" s="22">
        <f t="shared" si="0"/>
        <v>144117.59999999998</v>
      </c>
      <c r="E13" s="23">
        <f>SUM(E14:E17)</f>
        <v>9316.01</v>
      </c>
      <c r="F13" s="15">
        <f>D13-E13</f>
        <v>134801.58999999997</v>
      </c>
      <c r="H13" s="5"/>
    </row>
    <row r="14" spans="1:10" ht="21" x14ac:dyDescent="0.35">
      <c r="A14" s="7" t="s">
        <v>13</v>
      </c>
      <c r="B14" s="4" t="s">
        <v>14</v>
      </c>
      <c r="C14" s="24">
        <f>(C6+C7)*11.42%</f>
        <v>70575.599999999991</v>
      </c>
      <c r="D14" s="22">
        <f t="shared" si="0"/>
        <v>70575.599999999991</v>
      </c>
      <c r="E14" s="19">
        <f>4773.81</f>
        <v>4773.8100000000004</v>
      </c>
      <c r="F14" s="16">
        <f>D14-E14</f>
        <v>65801.789999999994</v>
      </c>
      <c r="H14" s="5"/>
    </row>
    <row r="15" spans="1:10" ht="21" x14ac:dyDescent="0.35">
      <c r="A15" s="7" t="s">
        <v>15</v>
      </c>
      <c r="B15" s="4" t="s">
        <v>16</v>
      </c>
      <c r="C15" s="24">
        <f>(C6+C7)*4.3%</f>
        <v>26573.999999999996</v>
      </c>
      <c r="D15" s="22">
        <f t="shared" si="0"/>
        <v>26573.999999999996</v>
      </c>
      <c r="E15" s="19">
        <f>1561.59</f>
        <v>1561.59</v>
      </c>
      <c r="F15" s="16">
        <f>D15-E15</f>
        <v>25012.409999999996</v>
      </c>
      <c r="H15" s="6"/>
    </row>
    <row r="16" spans="1:10" x14ac:dyDescent="0.3">
      <c r="A16" s="7" t="s">
        <v>17</v>
      </c>
      <c r="B16" s="4" t="s">
        <v>18</v>
      </c>
      <c r="C16" s="24">
        <f>(C6+C7)*4.8%</f>
        <v>29664</v>
      </c>
      <c r="D16" s="22">
        <f t="shared" si="0"/>
        <v>29664</v>
      </c>
      <c r="E16" s="19">
        <f>2022.39</f>
        <v>2022.39</v>
      </c>
      <c r="F16" s="16">
        <f t="shared" ref="F16:F17" si="2">D16-E16</f>
        <v>27641.61</v>
      </c>
    </row>
    <row r="17" spans="1:7" x14ac:dyDescent="0.3">
      <c r="A17" s="7" t="s">
        <v>19</v>
      </c>
      <c r="B17" s="4" t="s">
        <v>20</v>
      </c>
      <c r="C17" s="24">
        <f>(C6+C7)*2.8%</f>
        <v>17304</v>
      </c>
      <c r="D17" s="22">
        <f t="shared" si="0"/>
        <v>17304</v>
      </c>
      <c r="E17" s="19">
        <f>958.22</f>
        <v>958.22</v>
      </c>
      <c r="F17" s="16">
        <f t="shared" si="2"/>
        <v>16345.78</v>
      </c>
    </row>
    <row r="18" spans="1:7" x14ac:dyDescent="0.3">
      <c r="A18" s="47"/>
      <c r="B18" s="4"/>
      <c r="C18" s="24"/>
      <c r="D18" s="22">
        <f t="shared" si="0"/>
        <v>0</v>
      </c>
      <c r="E18" s="19"/>
      <c r="F18" s="16"/>
    </row>
    <row r="19" spans="1:7" x14ac:dyDescent="0.3">
      <c r="A19" s="48" t="s">
        <v>40</v>
      </c>
      <c r="B19" s="4" t="s">
        <v>29</v>
      </c>
      <c r="C19" s="24">
        <f>SUM(C20:C29)</f>
        <v>104638</v>
      </c>
      <c r="D19" s="22">
        <f t="shared" si="0"/>
        <v>104638</v>
      </c>
      <c r="E19" s="17">
        <f>SUM(E20:E29)</f>
        <v>14369.48</v>
      </c>
      <c r="F19" s="15">
        <f t="shared" si="1"/>
        <v>90268.52</v>
      </c>
      <c r="G19" s="52"/>
    </row>
    <row r="20" spans="1:7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</f>
        <v>7118</v>
      </c>
      <c r="F20" s="16">
        <f t="shared" si="1"/>
        <v>27882</v>
      </c>
    </row>
    <row r="21" spans="1:7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</row>
    <row r="22" spans="1:7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</row>
    <row r="23" spans="1:7" x14ac:dyDescent="0.3">
      <c r="A23" s="7" t="s">
        <v>23</v>
      </c>
      <c r="B23" s="12" t="s">
        <v>24</v>
      </c>
      <c r="C23" s="21"/>
      <c r="D23" s="22">
        <f t="shared" si="0"/>
        <v>0</v>
      </c>
      <c r="E23" s="19"/>
      <c r="F23" s="16">
        <f t="shared" si="1"/>
        <v>0</v>
      </c>
    </row>
    <row r="24" spans="1:7" x14ac:dyDescent="0.3">
      <c r="A24" s="7" t="s">
        <v>32</v>
      </c>
      <c r="B24" s="12" t="s">
        <v>33</v>
      </c>
      <c r="C24" s="24">
        <v>10000</v>
      </c>
      <c r="D24" s="22">
        <f t="shared" si="0"/>
        <v>10000</v>
      </c>
      <c r="E24" s="19">
        <f>410.08+3595.84</f>
        <v>4005.92</v>
      </c>
      <c r="F24" s="16">
        <f>D24-E24</f>
        <v>5994.08</v>
      </c>
    </row>
    <row r="25" spans="1:7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</f>
        <v>474.47</v>
      </c>
      <c r="F25" s="16">
        <f>D25-E25</f>
        <v>16163.53</v>
      </c>
    </row>
    <row r="26" spans="1:7" x14ac:dyDescent="0.3">
      <c r="A26" s="42" t="s">
        <v>44</v>
      </c>
      <c r="B26" s="12" t="s">
        <v>25</v>
      </c>
      <c r="C26" s="24">
        <v>30000</v>
      </c>
      <c r="D26" s="22">
        <f t="shared" si="0"/>
        <v>30000</v>
      </c>
      <c r="E26" s="19">
        <f>584.22+2186.87</f>
        <v>2771.09</v>
      </c>
      <c r="F26" s="15">
        <f t="shared" si="1"/>
        <v>27228.91</v>
      </c>
    </row>
    <row r="27" spans="1:7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</row>
    <row r="28" spans="1:7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/>
      <c r="F28" s="16">
        <f t="shared" si="1"/>
        <v>2000</v>
      </c>
    </row>
    <row r="29" spans="1:7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</row>
    <row r="30" spans="1:7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/>
      <c r="F30" s="16">
        <f t="shared" si="1"/>
        <v>300</v>
      </c>
    </row>
    <row r="31" spans="1:7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</row>
    <row r="32" spans="1:7" ht="18" x14ac:dyDescent="0.25">
      <c r="A32" s="7" t="s">
        <v>90</v>
      </c>
      <c r="B32" s="12" t="s">
        <v>88</v>
      </c>
      <c r="C32" s="24">
        <v>1200</v>
      </c>
      <c r="D32" s="22">
        <f t="shared" si="0"/>
        <v>1200</v>
      </c>
      <c r="E32" s="7"/>
      <c r="F32" s="7"/>
      <c r="G32"/>
    </row>
    <row r="33" spans="1:7" ht="18" x14ac:dyDescent="0.25">
      <c r="A33" s="7" t="s">
        <v>91</v>
      </c>
      <c r="B33" s="12" t="s">
        <v>89</v>
      </c>
      <c r="C33" s="24">
        <v>3000</v>
      </c>
      <c r="D33" s="22">
        <f t="shared" si="0"/>
        <v>3000</v>
      </c>
      <c r="E33" s="7"/>
      <c r="F33" s="7"/>
      <c r="G33"/>
    </row>
    <row r="34" spans="1:7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</row>
    <row r="35" spans="1:7" x14ac:dyDescent="0.3">
      <c r="C35" s="24"/>
      <c r="D35" s="24"/>
      <c r="E35" s="19"/>
      <c r="F35" s="16">
        <f t="shared" si="1"/>
        <v>0</v>
      </c>
    </row>
    <row r="36" spans="1:7" x14ac:dyDescent="0.3">
      <c r="B36" t="s">
        <v>28</v>
      </c>
      <c r="C36" s="26">
        <f>C6+C7+C13+C19+C30+C31+C32+C33</f>
        <v>871255.6</v>
      </c>
      <c r="D36" s="26">
        <f>D6+D7+D13+D19+D30+D31+D32+D33</f>
        <v>871255.6</v>
      </c>
      <c r="E36" s="55">
        <f>E6+E7+E13+E19+E30+E31</f>
        <v>65159.64</v>
      </c>
      <c r="F36" s="55">
        <f>F6+F7+F13+F19+F30+F31</f>
        <v>801895.96</v>
      </c>
    </row>
    <row r="37" spans="1:7" x14ac:dyDescent="0.3">
      <c r="C37" s="50"/>
      <c r="D37" s="50"/>
      <c r="E37" s="20"/>
    </row>
    <row r="38" spans="1:7" x14ac:dyDescent="0.3">
      <c r="A38" s="1" t="s">
        <v>53</v>
      </c>
      <c r="C38" s="50"/>
      <c r="D38" s="50"/>
      <c r="E38" s="56" t="s">
        <v>54</v>
      </c>
      <c r="G38" s="2"/>
    </row>
    <row r="39" spans="1:7" x14ac:dyDescent="0.3">
      <c r="C39" s="50"/>
      <c r="D39" s="50"/>
      <c r="E39" s="20"/>
      <c r="G39" s="2"/>
    </row>
    <row r="40" spans="1:7" s="28" customFormat="1" x14ac:dyDescent="0.3">
      <c r="E40" s="29"/>
      <c r="G40" s="53"/>
    </row>
    <row r="41" spans="1:7" s="28" customFormat="1" ht="21" x14ac:dyDescent="0.35">
      <c r="A41" s="83"/>
      <c r="B41" s="83"/>
      <c r="C41" s="30"/>
      <c r="D41" s="30"/>
      <c r="E41" s="31"/>
      <c r="F41" s="32"/>
      <c r="G41" s="53"/>
    </row>
    <row r="42" spans="1:7" s="28" customFormat="1" x14ac:dyDescent="0.3">
      <c r="B42" s="27"/>
      <c r="C42" s="33"/>
      <c r="D42" s="33"/>
      <c r="E42" s="34"/>
      <c r="F42" s="35"/>
      <c r="G42" s="53"/>
    </row>
    <row r="43" spans="1:7" s="28" customFormat="1" x14ac:dyDescent="0.3">
      <c r="B43" s="27"/>
      <c r="C43" s="36"/>
      <c r="D43" s="36"/>
      <c r="E43" s="37"/>
      <c r="F43" s="35"/>
      <c r="G43" s="53"/>
    </row>
    <row r="44" spans="1:7" s="28" customFormat="1" x14ac:dyDescent="0.3">
      <c r="B44" s="27"/>
      <c r="C44" s="36"/>
      <c r="D44" s="36"/>
      <c r="E44" s="37"/>
      <c r="F44" s="35"/>
      <c r="G44" s="53"/>
    </row>
    <row r="45" spans="1:7" s="28" customFormat="1" x14ac:dyDescent="0.3">
      <c r="B45" s="27"/>
      <c r="C45" s="36"/>
      <c r="D45" s="36"/>
      <c r="E45" s="37"/>
      <c r="F45" s="35"/>
      <c r="G45" s="53"/>
    </row>
    <row r="46" spans="1:7" s="28" customFormat="1" x14ac:dyDescent="0.3">
      <c r="B46" s="27"/>
      <c r="C46" s="36"/>
      <c r="D46" s="36"/>
      <c r="E46" s="37"/>
      <c r="F46" s="35"/>
      <c r="G46" s="53"/>
    </row>
    <row r="47" spans="1:7" s="28" customFormat="1" x14ac:dyDescent="0.3">
      <c r="B47" s="27"/>
      <c r="C47" s="36"/>
      <c r="D47" s="36"/>
      <c r="E47" s="37"/>
      <c r="F47" s="35"/>
      <c r="G47" s="53"/>
    </row>
    <row r="48" spans="1:7" s="28" customFormat="1" x14ac:dyDescent="0.3">
      <c r="B48" s="27"/>
      <c r="C48" s="36"/>
      <c r="D48" s="36"/>
      <c r="E48" s="37"/>
      <c r="F48" s="35"/>
      <c r="G48" s="53"/>
    </row>
    <row r="49" spans="1:7" s="28" customFormat="1" x14ac:dyDescent="0.3">
      <c r="B49" s="27"/>
      <c r="C49" s="36"/>
      <c r="D49" s="36"/>
      <c r="E49" s="37"/>
      <c r="F49" s="35"/>
      <c r="G49" s="53"/>
    </row>
    <row r="50" spans="1:7" s="28" customFormat="1" x14ac:dyDescent="0.3">
      <c r="B50" s="27"/>
      <c r="C50" s="36"/>
      <c r="D50" s="36"/>
      <c r="E50" s="37"/>
      <c r="F50" s="35"/>
      <c r="G50" s="54"/>
    </row>
    <row r="51" spans="1:7" s="28" customFormat="1" x14ac:dyDescent="0.3">
      <c r="B51" s="27"/>
      <c r="C51" s="36"/>
      <c r="D51" s="36"/>
      <c r="E51" s="37"/>
      <c r="F51" s="35"/>
      <c r="G51" s="53"/>
    </row>
    <row r="52" spans="1:7" s="28" customFormat="1" x14ac:dyDescent="0.3">
      <c r="B52" s="27"/>
      <c r="C52" s="36"/>
      <c r="D52" s="36"/>
      <c r="E52" s="37"/>
      <c r="F52" s="35"/>
      <c r="G52" s="53"/>
    </row>
    <row r="53" spans="1:7" s="28" customFormat="1" x14ac:dyDescent="0.3">
      <c r="B53" s="27"/>
      <c r="C53" s="36"/>
      <c r="D53" s="36"/>
      <c r="E53" s="37"/>
      <c r="F53" s="35"/>
      <c r="G53" s="53"/>
    </row>
    <row r="54" spans="1:7" s="28" customFormat="1" x14ac:dyDescent="0.3">
      <c r="B54" s="27"/>
      <c r="C54" s="36"/>
      <c r="D54" s="36"/>
      <c r="E54" s="37"/>
      <c r="F54" s="35"/>
      <c r="G54" s="53"/>
    </row>
    <row r="55" spans="1:7" s="28" customFormat="1" x14ac:dyDescent="0.3">
      <c r="C55" s="33"/>
      <c r="D55" s="33"/>
      <c r="E55" s="34"/>
      <c r="F55" s="35"/>
      <c r="G55" s="53"/>
    </row>
    <row r="56" spans="1:7" s="28" customFormat="1" x14ac:dyDescent="0.3">
      <c r="C56" s="35"/>
      <c r="D56" s="35"/>
      <c r="E56" s="34"/>
      <c r="F56" s="35"/>
      <c r="G56" s="53"/>
    </row>
    <row r="57" spans="1:7" s="28" customFormat="1" x14ac:dyDescent="0.3">
      <c r="C57" s="35"/>
      <c r="D57" s="35"/>
      <c r="E57" s="34"/>
      <c r="F57" s="35"/>
      <c r="G57" s="53"/>
    </row>
    <row r="58" spans="1:7" s="28" customFormat="1" x14ac:dyDescent="0.3">
      <c r="A58" s="39"/>
      <c r="C58" s="40"/>
      <c r="D58" s="40"/>
      <c r="E58" s="27"/>
      <c r="G58" s="53"/>
    </row>
    <row r="59" spans="1:7" s="28" customFormat="1" x14ac:dyDescent="0.3">
      <c r="C59" s="41"/>
      <c r="D59" s="41"/>
      <c r="E59" s="41"/>
      <c r="G59" s="53"/>
    </row>
    <row r="60" spans="1:7" s="28" customFormat="1" x14ac:dyDescent="0.3">
      <c r="A60" s="38"/>
      <c r="B60" s="27"/>
      <c r="C60" s="27"/>
      <c r="D60" s="27"/>
      <c r="E60" s="27"/>
      <c r="G60" s="53"/>
    </row>
    <row r="61" spans="1:7" s="28" customFormat="1" x14ac:dyDescent="0.3">
      <c r="B61" s="27"/>
      <c r="C61" s="27"/>
      <c r="D61" s="27"/>
      <c r="E61" s="27"/>
      <c r="G61" s="53"/>
    </row>
    <row r="62" spans="1:7" s="28" customFormat="1" x14ac:dyDescent="0.3">
      <c r="B62" s="27"/>
      <c r="C62" s="27"/>
      <c r="D62" s="27"/>
      <c r="E62" s="27"/>
      <c r="G62" s="53"/>
    </row>
    <row r="63" spans="1:7" s="28" customFormat="1" x14ac:dyDescent="0.3">
      <c r="A63" s="38"/>
      <c r="B63" s="27"/>
      <c r="C63" s="27"/>
      <c r="D63" s="27"/>
      <c r="E63" s="27"/>
      <c r="G63" s="53"/>
    </row>
    <row r="64" spans="1:7" s="28" customFormat="1" x14ac:dyDescent="0.3">
      <c r="A64" s="38"/>
      <c r="B64" s="27"/>
      <c r="C64" s="27"/>
      <c r="D64" s="27"/>
      <c r="E64" s="27"/>
      <c r="G64" s="53"/>
    </row>
    <row r="65" spans="1:7" s="28" customFormat="1" x14ac:dyDescent="0.3">
      <c r="A65" s="38"/>
      <c r="B65" s="27"/>
      <c r="C65" s="27"/>
      <c r="D65" s="27"/>
      <c r="E65" s="27"/>
      <c r="G65" s="53"/>
    </row>
    <row r="66" spans="1:7" s="28" customFormat="1" x14ac:dyDescent="0.3">
      <c r="A66" s="38"/>
      <c r="B66" s="27"/>
      <c r="C66" s="27"/>
      <c r="D66" s="27"/>
      <c r="E66" s="27"/>
      <c r="G66" s="53"/>
    </row>
    <row r="67" spans="1:7" s="28" customFormat="1" x14ac:dyDescent="0.3">
      <c r="G67" s="53"/>
    </row>
  </sheetData>
  <mergeCells count="3">
    <mergeCell ref="A5:B5"/>
    <mergeCell ref="A6:A7"/>
    <mergeCell ref="A41:B41"/>
  </mergeCells>
  <pageMargins left="0.9055118110236221" right="0.70866141732283472" top="0.74803149606299213" bottom="0.74803149606299213" header="0.31496062992125984" footer="0.31496062992125984"/>
  <pageSetup paperSize="9" scale="86" orientation="portrait" r:id="rId1"/>
  <colBreaks count="1" manualBreakCount="1">
    <brk id="6" max="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16" zoomScaleNormal="100" workbookViewId="0">
      <selection activeCell="M20" sqref="M20"/>
    </sheetView>
  </sheetViews>
  <sheetFormatPr defaultRowHeight="18.75" x14ac:dyDescent="0.3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11.42578125" style="1" customWidth="1"/>
    <col min="8" max="8" width="10.5703125" bestFit="1" customWidth="1"/>
    <col min="10" max="10" width="10.5703125" customWidth="1"/>
  </cols>
  <sheetData>
    <row r="1" spans="1:13" x14ac:dyDescent="0.3">
      <c r="B1" s="1" t="s">
        <v>76</v>
      </c>
      <c r="C1" s="1"/>
      <c r="D1" s="1"/>
      <c r="E1" s="1"/>
    </row>
    <row r="2" spans="1:13" x14ac:dyDescent="0.3">
      <c r="B2" s="1" t="s">
        <v>52</v>
      </c>
      <c r="C2" s="1"/>
      <c r="D2" s="1"/>
      <c r="E2" s="1"/>
    </row>
    <row r="3" spans="1:13" x14ac:dyDescent="0.3">
      <c r="B3" s="1"/>
      <c r="C3" s="1"/>
      <c r="D3" s="1"/>
      <c r="E3" s="1"/>
    </row>
    <row r="4" spans="1:13" ht="19.5" thickBot="1" x14ac:dyDescent="0.35">
      <c r="F4" s="1"/>
      <c r="H4" s="1"/>
    </row>
    <row r="5" spans="1:13" ht="63.75" thickBot="1" x14ac:dyDescent="0.4">
      <c r="A5" s="79" t="s">
        <v>77</v>
      </c>
      <c r="B5" s="80"/>
      <c r="C5" s="8" t="s">
        <v>71</v>
      </c>
      <c r="D5" s="8" t="s">
        <v>74</v>
      </c>
      <c r="E5" s="64" t="s">
        <v>87</v>
      </c>
      <c r="F5" s="10" t="s">
        <v>39</v>
      </c>
      <c r="G5" s="2"/>
      <c r="H5" s="2"/>
      <c r="J5" s="51"/>
    </row>
    <row r="6" spans="1:13" x14ac:dyDescent="0.3">
      <c r="A6" s="81" t="s">
        <v>0</v>
      </c>
      <c r="B6" s="11" t="s">
        <v>1</v>
      </c>
      <c r="C6" s="22">
        <v>590000</v>
      </c>
      <c r="D6" s="22">
        <f>C6</f>
        <v>590000</v>
      </c>
      <c r="E6" s="18">
        <f>39656.85+40295.33</f>
        <v>79952.179999999993</v>
      </c>
      <c r="F6" s="14">
        <f>D6-E6</f>
        <v>510047.82</v>
      </c>
      <c r="G6" s="2"/>
    </row>
    <row r="7" spans="1:13" x14ac:dyDescent="0.3">
      <c r="A7" s="82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3466.06</v>
      </c>
      <c r="F7" s="15">
        <f t="shared" ref="F7:F35" si="1">D7-E7</f>
        <v>24533.94</v>
      </c>
      <c r="G7" s="2"/>
      <c r="H7" s="2"/>
    </row>
    <row r="8" spans="1:13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</f>
        <v>1675</v>
      </c>
      <c r="F8" s="16">
        <f t="shared" si="1"/>
        <v>3325</v>
      </c>
    </row>
    <row r="9" spans="1:13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</f>
        <v>1473.98</v>
      </c>
      <c r="F9" s="16">
        <f t="shared" si="1"/>
        <v>18526.02</v>
      </c>
      <c r="G9" s="2"/>
      <c r="H9" s="2"/>
    </row>
    <row r="10" spans="1:13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G10" s="2"/>
      <c r="H10" s="2"/>
    </row>
    <row r="11" spans="1:13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</f>
        <v>317.08</v>
      </c>
      <c r="F11" s="16">
        <f t="shared" si="1"/>
        <v>2682.92</v>
      </c>
      <c r="G11" s="2"/>
      <c r="H11" s="2"/>
    </row>
    <row r="12" spans="1:13" x14ac:dyDescent="0.3">
      <c r="A12" s="7"/>
      <c r="B12" s="4"/>
      <c r="C12" s="24"/>
      <c r="D12" s="22">
        <f t="shared" si="0"/>
        <v>0</v>
      </c>
      <c r="E12" s="19"/>
      <c r="F12" s="16"/>
    </row>
    <row r="13" spans="1:13" ht="21" x14ac:dyDescent="0.35">
      <c r="A13" s="7" t="s">
        <v>11</v>
      </c>
      <c r="B13" s="3" t="s">
        <v>12</v>
      </c>
      <c r="C13" s="23">
        <f>SUM(C14:C17)</f>
        <v>144117.59999999998</v>
      </c>
      <c r="D13" s="22">
        <f t="shared" si="0"/>
        <v>144117.59999999998</v>
      </c>
      <c r="E13" s="23">
        <f>SUM(E14:E17)</f>
        <v>18749.810000000001</v>
      </c>
      <c r="F13" s="15">
        <f>D13-E13</f>
        <v>125367.78999999998</v>
      </c>
      <c r="H13" s="5"/>
      <c r="M13">
        <v>50</v>
      </c>
    </row>
    <row r="14" spans="1:13" ht="21" x14ac:dyDescent="0.35">
      <c r="A14" s="7" t="s">
        <v>13</v>
      </c>
      <c r="B14" s="4" t="s">
        <v>14</v>
      </c>
      <c r="C14" s="24">
        <f>(C6+C7)*11.42%</f>
        <v>70575.599999999991</v>
      </c>
      <c r="D14" s="22">
        <f t="shared" si="0"/>
        <v>70575.599999999991</v>
      </c>
      <c r="E14" s="19">
        <f>4773.81+4821.94</f>
        <v>9595.75</v>
      </c>
      <c r="F14" s="16">
        <f>D14-E14</f>
        <v>60979.849999999991</v>
      </c>
      <c r="H14" s="5"/>
      <c r="M14">
        <v>819</v>
      </c>
    </row>
    <row r="15" spans="1:13" ht="21" x14ac:dyDescent="0.35">
      <c r="A15" s="7" t="s">
        <v>15</v>
      </c>
      <c r="B15" s="4" t="s">
        <v>16</v>
      </c>
      <c r="C15" s="24">
        <f>(C6+C7)*4.3%</f>
        <v>26573.999999999996</v>
      </c>
      <c r="D15" s="22">
        <f t="shared" si="0"/>
        <v>26573.999999999996</v>
      </c>
      <c r="E15" s="19">
        <f>1561.59+1620.97</f>
        <v>3182.56</v>
      </c>
      <c r="F15" s="16">
        <f>D15-E15</f>
        <v>23391.439999999995</v>
      </c>
      <c r="H15" s="6"/>
      <c r="M15">
        <v>925</v>
      </c>
    </row>
    <row r="16" spans="1:13" x14ac:dyDescent="0.3">
      <c r="A16" s="7" t="s">
        <v>17</v>
      </c>
      <c r="B16" s="4" t="s">
        <v>18</v>
      </c>
      <c r="C16" s="24">
        <f>(C6+C7)*4.8%</f>
        <v>29664</v>
      </c>
      <c r="D16" s="22">
        <f t="shared" si="0"/>
        <v>29664</v>
      </c>
      <c r="E16" s="19">
        <f>2022.39+2016.88</f>
        <v>4039.2700000000004</v>
      </c>
      <c r="F16" s="16">
        <f t="shared" ref="F16:F17" si="2">D16-E16</f>
        <v>25624.73</v>
      </c>
      <c r="M16">
        <v>189.85</v>
      </c>
    </row>
    <row r="17" spans="1:13" x14ac:dyDescent="0.3">
      <c r="A17" s="7" t="s">
        <v>19</v>
      </c>
      <c r="B17" s="4" t="s">
        <v>20</v>
      </c>
      <c r="C17" s="24">
        <f>(C6+C7)*2.8%</f>
        <v>17304</v>
      </c>
      <c r="D17" s="22">
        <f t="shared" si="0"/>
        <v>17304</v>
      </c>
      <c r="E17" s="19">
        <f>958.22+974.01</f>
        <v>1932.23</v>
      </c>
      <c r="F17" s="16">
        <f t="shared" si="2"/>
        <v>15371.77</v>
      </c>
      <c r="M17">
        <f>SUM(M13:M16)</f>
        <v>1983.85</v>
      </c>
    </row>
    <row r="18" spans="1:13" x14ac:dyDescent="0.3">
      <c r="A18" s="47"/>
      <c r="B18" s="4"/>
      <c r="C18" s="24"/>
      <c r="D18" s="22">
        <f t="shared" si="0"/>
        <v>0</v>
      </c>
      <c r="E18" s="19"/>
      <c r="F18" s="16"/>
    </row>
    <row r="19" spans="1:13" x14ac:dyDescent="0.3">
      <c r="A19" s="48" t="s">
        <v>40</v>
      </c>
      <c r="B19" s="4" t="s">
        <v>29</v>
      </c>
      <c r="C19" s="24">
        <f>SUM(C20:C29)</f>
        <v>104638</v>
      </c>
      <c r="D19" s="22">
        <f t="shared" si="0"/>
        <v>104638</v>
      </c>
      <c r="E19" s="17">
        <f>SUM(E20:E29)</f>
        <v>19044.629999999997</v>
      </c>
      <c r="F19" s="15">
        <f t="shared" si="1"/>
        <v>85593.37</v>
      </c>
      <c r="G19" s="52"/>
      <c r="M19">
        <f>3000-M17</f>
        <v>1016.1500000000001</v>
      </c>
    </row>
    <row r="20" spans="1:13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</f>
        <v>10223.5</v>
      </c>
      <c r="F20" s="16">
        <f t="shared" si="1"/>
        <v>24776.5</v>
      </c>
    </row>
    <row r="21" spans="1:13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</row>
    <row r="22" spans="1:13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</row>
    <row r="23" spans="1:13" x14ac:dyDescent="0.3">
      <c r="A23" s="7" t="s">
        <v>23</v>
      </c>
      <c r="B23" s="12" t="s">
        <v>24</v>
      </c>
      <c r="C23" s="21"/>
      <c r="D23" s="22">
        <f t="shared" si="0"/>
        <v>0</v>
      </c>
      <c r="E23" s="19"/>
      <c r="F23" s="16">
        <f t="shared" si="1"/>
        <v>0</v>
      </c>
    </row>
    <row r="24" spans="1:13" x14ac:dyDescent="0.3">
      <c r="A24" s="7" t="s">
        <v>32</v>
      </c>
      <c r="B24" s="12" t="s">
        <v>33</v>
      </c>
      <c r="C24" s="24">
        <v>10000</v>
      </c>
      <c r="D24" s="22">
        <f t="shared" si="0"/>
        <v>10000</v>
      </c>
      <c r="E24" s="19">
        <f>410.08+3595.84+620.4</f>
        <v>4626.32</v>
      </c>
      <c r="F24" s="16">
        <f>D24-E24</f>
        <v>5373.68</v>
      </c>
    </row>
    <row r="25" spans="1:13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</f>
        <v>716.98</v>
      </c>
      <c r="F25" s="16">
        <f>D25-E25</f>
        <v>15921.02</v>
      </c>
    </row>
    <row r="26" spans="1:13" x14ac:dyDescent="0.3">
      <c r="A26" s="42" t="s">
        <v>44</v>
      </c>
      <c r="B26" s="12" t="s">
        <v>25</v>
      </c>
      <c r="C26" s="24">
        <v>30000</v>
      </c>
      <c r="D26" s="22">
        <f t="shared" si="0"/>
        <v>30000</v>
      </c>
      <c r="E26" s="19">
        <f>584.22+2186.87+656.74</f>
        <v>3427.83</v>
      </c>
      <c r="F26" s="15">
        <f t="shared" si="1"/>
        <v>26572.17</v>
      </c>
    </row>
    <row r="27" spans="1:13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</row>
    <row r="28" spans="1:13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</f>
        <v>50</v>
      </c>
      <c r="F28" s="16">
        <f t="shared" si="1"/>
        <v>1950</v>
      </c>
    </row>
    <row r="29" spans="1:13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</row>
    <row r="30" spans="1:13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/>
      <c r="F30" s="16">
        <f t="shared" si="1"/>
        <v>300</v>
      </c>
    </row>
    <row r="31" spans="1:13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</row>
    <row r="32" spans="1:13" ht="18" x14ac:dyDescent="0.25">
      <c r="A32" s="7" t="s">
        <v>90</v>
      </c>
      <c r="B32" s="12" t="s">
        <v>88</v>
      </c>
      <c r="C32" s="24">
        <v>1200</v>
      </c>
      <c r="D32" s="22">
        <f t="shared" si="0"/>
        <v>1200</v>
      </c>
      <c r="E32" s="7"/>
      <c r="F32" s="7"/>
      <c r="G32"/>
    </row>
    <row r="33" spans="1:7" ht="18" x14ac:dyDescent="0.25">
      <c r="A33" s="7" t="s">
        <v>91</v>
      </c>
      <c r="B33" s="12" t="s">
        <v>89</v>
      </c>
      <c r="C33" s="24">
        <v>3000</v>
      </c>
      <c r="D33" s="22">
        <f t="shared" si="0"/>
        <v>3000</v>
      </c>
      <c r="E33" s="7"/>
      <c r="F33" s="7"/>
      <c r="G33"/>
    </row>
    <row r="34" spans="1:7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</row>
    <row r="35" spans="1:7" x14ac:dyDescent="0.3">
      <c r="C35" s="24"/>
      <c r="D35" s="24"/>
      <c r="E35" s="19"/>
      <c r="F35" s="16">
        <f t="shared" si="1"/>
        <v>0</v>
      </c>
    </row>
    <row r="36" spans="1:7" x14ac:dyDescent="0.3">
      <c r="B36" t="s">
        <v>28</v>
      </c>
      <c r="C36" s="26">
        <f>C6+C7+C13+C19+C30+C31+C32+C33</f>
        <v>871255.6</v>
      </c>
      <c r="D36" s="26">
        <f>D6+D7+D13+D19+D30+D31+D32+D33</f>
        <v>871255.6</v>
      </c>
      <c r="E36" s="55">
        <f>E6+E7+E13+E19+E30+E31</f>
        <v>121212.68</v>
      </c>
      <c r="F36" s="55">
        <f>F6+F7+F13+F19+F30+F31</f>
        <v>745842.92</v>
      </c>
    </row>
    <row r="37" spans="1:7" x14ac:dyDescent="0.3">
      <c r="C37" s="50"/>
      <c r="D37" s="50"/>
      <c r="E37" s="20"/>
    </row>
    <row r="38" spans="1:7" x14ac:dyDescent="0.3">
      <c r="A38" s="1" t="s">
        <v>53</v>
      </c>
      <c r="C38" s="50"/>
      <c r="D38" s="50"/>
      <c r="E38" s="56" t="s">
        <v>54</v>
      </c>
      <c r="G38" s="2"/>
    </row>
    <row r="39" spans="1:7" x14ac:dyDescent="0.3">
      <c r="C39" s="50"/>
      <c r="D39" s="50"/>
      <c r="E39" s="20"/>
      <c r="G39" s="2"/>
    </row>
    <row r="40" spans="1:7" s="28" customFormat="1" x14ac:dyDescent="0.3">
      <c r="E40" s="29"/>
      <c r="G40" s="53"/>
    </row>
    <row r="41" spans="1:7" s="28" customFormat="1" ht="21" x14ac:dyDescent="0.35">
      <c r="A41" s="83"/>
      <c r="B41" s="83"/>
      <c r="C41" s="30">
        <f>C34-809.76</f>
        <v>15175.24</v>
      </c>
      <c r="D41" s="30"/>
      <c r="E41" s="31"/>
      <c r="F41" s="32"/>
      <c r="G41" s="53"/>
    </row>
    <row r="42" spans="1:7" s="28" customFormat="1" x14ac:dyDescent="0.3">
      <c r="B42" s="27"/>
      <c r="C42" s="33"/>
      <c r="D42" s="33"/>
      <c r="E42" s="34"/>
      <c r="F42" s="35"/>
      <c r="G42" s="53"/>
    </row>
    <row r="43" spans="1:7" s="28" customFormat="1" x14ac:dyDescent="0.3">
      <c r="B43" s="27"/>
      <c r="C43" s="36"/>
      <c r="D43" s="36"/>
      <c r="E43" s="37"/>
      <c r="F43" s="35"/>
      <c r="G43" s="53"/>
    </row>
    <row r="44" spans="1:7" s="28" customFormat="1" x14ac:dyDescent="0.3">
      <c r="B44" s="27"/>
      <c r="C44" s="36"/>
      <c r="D44" s="36"/>
      <c r="E44" s="37"/>
      <c r="F44" s="35"/>
      <c r="G44" s="53"/>
    </row>
    <row r="45" spans="1:7" s="28" customFormat="1" x14ac:dyDescent="0.3">
      <c r="B45" s="27"/>
      <c r="C45" s="36"/>
      <c r="D45" s="36"/>
      <c r="E45" s="37"/>
      <c r="F45" s="35"/>
      <c r="G45" s="53"/>
    </row>
    <row r="46" spans="1:7" s="28" customFormat="1" x14ac:dyDescent="0.3">
      <c r="B46" s="27"/>
      <c r="C46" s="36"/>
      <c r="D46" s="36"/>
      <c r="E46" s="37"/>
      <c r="F46" s="35"/>
      <c r="G46" s="53"/>
    </row>
    <row r="47" spans="1:7" s="28" customFormat="1" x14ac:dyDescent="0.3">
      <c r="B47" s="27"/>
      <c r="C47" s="36"/>
      <c r="D47" s="36"/>
      <c r="E47" s="37"/>
      <c r="F47" s="35"/>
      <c r="G47" s="53"/>
    </row>
    <row r="48" spans="1:7" s="28" customFormat="1" x14ac:dyDescent="0.3">
      <c r="B48" s="27"/>
      <c r="C48" s="36"/>
      <c r="D48" s="36"/>
      <c r="E48" s="37"/>
      <c r="F48" s="35"/>
      <c r="G48" s="53"/>
    </row>
    <row r="49" spans="1:7" s="28" customFormat="1" x14ac:dyDescent="0.3">
      <c r="B49" s="27"/>
      <c r="C49" s="36"/>
      <c r="D49" s="36"/>
      <c r="E49" s="37"/>
      <c r="F49" s="35"/>
      <c r="G49" s="53"/>
    </row>
    <row r="50" spans="1:7" s="28" customFormat="1" x14ac:dyDescent="0.3">
      <c r="B50" s="27"/>
      <c r="C50" s="36"/>
      <c r="D50" s="36"/>
      <c r="E50" s="37"/>
      <c r="F50" s="35"/>
      <c r="G50" s="54"/>
    </row>
    <row r="51" spans="1:7" s="28" customFormat="1" x14ac:dyDescent="0.3">
      <c r="B51" s="27"/>
      <c r="C51" s="36"/>
      <c r="D51" s="36"/>
      <c r="E51" s="37"/>
      <c r="F51" s="35"/>
      <c r="G51" s="53"/>
    </row>
    <row r="52" spans="1:7" s="28" customFormat="1" x14ac:dyDescent="0.3">
      <c r="B52" s="27"/>
      <c r="C52" s="36"/>
      <c r="D52" s="36"/>
      <c r="E52" s="37"/>
      <c r="F52" s="35"/>
      <c r="G52" s="53"/>
    </row>
    <row r="53" spans="1:7" s="28" customFormat="1" x14ac:dyDescent="0.3">
      <c r="B53" s="27"/>
      <c r="C53" s="36"/>
      <c r="D53" s="36"/>
      <c r="E53" s="37"/>
      <c r="F53" s="35"/>
      <c r="G53" s="53"/>
    </row>
    <row r="54" spans="1:7" s="28" customFormat="1" x14ac:dyDescent="0.3">
      <c r="B54" s="27"/>
      <c r="C54" s="36"/>
      <c r="D54" s="36"/>
      <c r="E54" s="37"/>
      <c r="F54" s="35"/>
      <c r="G54" s="53"/>
    </row>
    <row r="55" spans="1:7" s="28" customFormat="1" x14ac:dyDescent="0.3">
      <c r="C55" s="33"/>
      <c r="D55" s="33"/>
      <c r="E55" s="34"/>
      <c r="F55" s="35"/>
      <c r="G55" s="53"/>
    </row>
    <row r="56" spans="1:7" s="28" customFormat="1" x14ac:dyDescent="0.3">
      <c r="C56" s="35"/>
      <c r="D56" s="35"/>
      <c r="E56" s="34"/>
      <c r="F56" s="35"/>
      <c r="G56" s="53"/>
    </row>
    <row r="57" spans="1:7" s="28" customFormat="1" x14ac:dyDescent="0.3">
      <c r="C57" s="35"/>
      <c r="D57" s="35"/>
      <c r="E57" s="34"/>
      <c r="F57" s="35"/>
      <c r="G57" s="53"/>
    </row>
    <row r="58" spans="1:7" s="28" customFormat="1" x14ac:dyDescent="0.3">
      <c r="A58" s="39"/>
      <c r="C58" s="40"/>
      <c r="D58" s="40"/>
      <c r="E58" s="27"/>
      <c r="G58" s="53"/>
    </row>
    <row r="59" spans="1:7" s="28" customFormat="1" x14ac:dyDescent="0.3">
      <c r="C59" s="41"/>
      <c r="D59" s="41"/>
      <c r="E59" s="41"/>
      <c r="G59" s="53"/>
    </row>
    <row r="60" spans="1:7" s="28" customFormat="1" x14ac:dyDescent="0.3">
      <c r="A60" s="38"/>
      <c r="B60" s="27"/>
      <c r="C60" s="27"/>
      <c r="D60" s="27"/>
      <c r="E60" s="27"/>
      <c r="G60" s="53"/>
    </row>
    <row r="61" spans="1:7" s="28" customFormat="1" x14ac:dyDescent="0.3">
      <c r="B61" s="27"/>
      <c r="C61" s="27"/>
      <c r="D61" s="27"/>
      <c r="E61" s="27"/>
      <c r="G61" s="53"/>
    </row>
    <row r="62" spans="1:7" s="28" customFormat="1" x14ac:dyDescent="0.3">
      <c r="B62" s="27"/>
      <c r="C62" s="27"/>
      <c r="D62" s="27"/>
      <c r="E62" s="27"/>
      <c r="G62" s="53"/>
    </row>
    <row r="63" spans="1:7" s="28" customFormat="1" x14ac:dyDescent="0.3">
      <c r="A63" s="38"/>
      <c r="B63" s="27"/>
      <c r="C63" s="27"/>
      <c r="D63" s="27"/>
      <c r="E63" s="27"/>
      <c r="G63" s="53"/>
    </row>
    <row r="64" spans="1:7" s="28" customFormat="1" x14ac:dyDescent="0.3">
      <c r="A64" s="38"/>
      <c r="B64" s="27"/>
      <c r="C64" s="27"/>
      <c r="D64" s="27"/>
      <c r="E64" s="27"/>
      <c r="G64" s="53"/>
    </row>
    <row r="65" spans="1:7" s="28" customFormat="1" x14ac:dyDescent="0.3">
      <c r="A65" s="38"/>
      <c r="B65" s="27"/>
      <c r="C65" s="27"/>
      <c r="D65" s="27"/>
      <c r="E65" s="27"/>
      <c r="G65" s="53"/>
    </row>
    <row r="66" spans="1:7" s="28" customFormat="1" x14ac:dyDescent="0.3">
      <c r="A66" s="38"/>
      <c r="B66" s="27"/>
      <c r="C66" s="27"/>
      <c r="D66" s="27"/>
      <c r="E66" s="27"/>
      <c r="G66" s="53"/>
    </row>
    <row r="67" spans="1:7" s="28" customFormat="1" x14ac:dyDescent="0.3">
      <c r="G67" s="53"/>
    </row>
  </sheetData>
  <mergeCells count="3">
    <mergeCell ref="A5:B5"/>
    <mergeCell ref="A6:A7"/>
    <mergeCell ref="A41:B41"/>
  </mergeCells>
  <pageMargins left="0.9055118110236221" right="0.70866141732283472" top="0.74803149606299213" bottom="0.74803149606299213" header="0.31496062992125984" footer="0.31496062992125984"/>
  <pageSetup paperSize="9" scale="86" orientation="portrait" r:id="rId1"/>
  <rowBreaks count="1" manualBreakCount="1">
    <brk id="50" max="16383" man="1"/>
  </rowBreaks>
  <colBreaks count="1" manualBreakCount="1">
    <brk id="6" max="4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7" zoomScaleNormal="100" workbookViewId="0">
      <selection activeCell="C6" sqref="C6"/>
    </sheetView>
  </sheetViews>
  <sheetFormatPr defaultRowHeight="18.75" x14ac:dyDescent="0.3"/>
  <cols>
    <col min="1" max="1" width="28.85546875" customWidth="1"/>
    <col min="2" max="2" width="11.42578125" customWidth="1"/>
    <col min="3" max="3" width="14.28515625" customWidth="1"/>
    <col min="4" max="4" width="15" customWidth="1"/>
    <col min="5" max="5" width="14.5703125" customWidth="1"/>
    <col min="6" max="6" width="11.42578125" style="1" customWidth="1"/>
    <col min="7" max="7" width="10.5703125" bestFit="1" customWidth="1"/>
    <col min="9" max="9" width="10.5703125" customWidth="1"/>
  </cols>
  <sheetData>
    <row r="1" spans="1:9" x14ac:dyDescent="0.3">
      <c r="B1" s="1" t="s">
        <v>56</v>
      </c>
      <c r="D1" s="1"/>
    </row>
    <row r="2" spans="1:9" x14ac:dyDescent="0.3">
      <c r="B2" s="1" t="s">
        <v>52</v>
      </c>
      <c r="D2" s="1"/>
    </row>
    <row r="3" spans="1:9" x14ac:dyDescent="0.3">
      <c r="B3" s="1"/>
      <c r="C3" s="1"/>
      <c r="D3" s="1"/>
    </row>
    <row r="4" spans="1:9" ht="19.5" thickBot="1" x14ac:dyDescent="0.35">
      <c r="E4" s="1"/>
      <c r="G4" s="1"/>
    </row>
    <row r="5" spans="1:9" ht="42.75" thickBot="1" x14ac:dyDescent="0.4">
      <c r="A5" s="79" t="s">
        <v>43</v>
      </c>
      <c r="B5" s="80"/>
      <c r="C5" s="8" t="s">
        <v>55</v>
      </c>
      <c r="D5" s="9" t="s">
        <v>57</v>
      </c>
      <c r="E5" s="10" t="s">
        <v>39</v>
      </c>
      <c r="F5" s="2"/>
      <c r="G5" s="2"/>
      <c r="I5" s="51"/>
    </row>
    <row r="6" spans="1:9" x14ac:dyDescent="0.3">
      <c r="A6" s="81" t="s">
        <v>0</v>
      </c>
      <c r="B6" s="11" t="s">
        <v>1</v>
      </c>
      <c r="C6" s="22">
        <f>549784-30145-1500</f>
        <v>518139</v>
      </c>
      <c r="D6" s="18">
        <f>42312.4+40527.12+39636.72</f>
        <v>122476.24</v>
      </c>
      <c r="E6" s="14">
        <f>C6-D6</f>
        <v>395662.76</v>
      </c>
      <c r="F6" s="2"/>
    </row>
    <row r="7" spans="1:9" x14ac:dyDescent="0.3">
      <c r="A7" s="82"/>
      <c r="B7" s="3" t="s">
        <v>2</v>
      </c>
      <c r="C7" s="23">
        <f>SUM(C8:C11)</f>
        <v>22500</v>
      </c>
      <c r="D7" s="17">
        <f>SUM(D8:D11)</f>
        <v>3901.4700000000003</v>
      </c>
      <c r="E7" s="15">
        <f t="shared" ref="E7:E33" si="0">C7-D7</f>
        <v>18598.53</v>
      </c>
      <c r="F7" s="2"/>
      <c r="G7" s="2"/>
    </row>
    <row r="8" spans="1:9" x14ac:dyDescent="0.3">
      <c r="A8" s="7" t="s">
        <v>3</v>
      </c>
      <c r="B8" s="4" t="s">
        <v>4</v>
      </c>
      <c r="C8" s="24">
        <v>2000</v>
      </c>
      <c r="D8" s="19"/>
      <c r="E8" s="16">
        <f t="shared" si="0"/>
        <v>2000</v>
      </c>
    </row>
    <row r="9" spans="1:9" x14ac:dyDescent="0.3">
      <c r="A9" s="7" t="s">
        <v>5</v>
      </c>
      <c r="B9" s="4" t="s">
        <v>6</v>
      </c>
      <c r="C9" s="24">
        <v>18000</v>
      </c>
      <c r="D9" s="19">
        <f>787.16+787.16+787.16</f>
        <v>2361.48</v>
      </c>
      <c r="E9" s="16">
        <f t="shared" si="0"/>
        <v>15638.52</v>
      </c>
      <c r="F9" s="2"/>
      <c r="G9" s="2"/>
    </row>
    <row r="10" spans="1:9" x14ac:dyDescent="0.3">
      <c r="A10" s="7" t="s">
        <v>7</v>
      </c>
      <c r="B10" s="4" t="s">
        <v>8</v>
      </c>
      <c r="C10" s="21"/>
      <c r="D10" s="19"/>
      <c r="E10" s="16">
        <f t="shared" si="0"/>
        <v>0</v>
      </c>
      <c r="F10" s="2"/>
      <c r="G10" s="2"/>
    </row>
    <row r="11" spans="1:9" x14ac:dyDescent="0.3">
      <c r="A11" s="7" t="s">
        <v>9</v>
      </c>
      <c r="B11" s="4" t="s">
        <v>10</v>
      </c>
      <c r="C11" s="24">
        <v>2500</v>
      </c>
      <c r="D11" s="19">
        <f>406.1+711.39+422.5</f>
        <v>1539.99</v>
      </c>
      <c r="E11" s="16">
        <f t="shared" si="0"/>
        <v>960.01</v>
      </c>
      <c r="F11" s="2"/>
      <c r="G11" s="2"/>
    </row>
    <row r="12" spans="1:9" x14ac:dyDescent="0.3">
      <c r="A12" s="7"/>
      <c r="B12" s="4"/>
      <c r="C12" s="24"/>
      <c r="D12" s="19"/>
      <c r="E12" s="16"/>
    </row>
    <row r="13" spans="1:9" ht="21" x14ac:dyDescent="0.35">
      <c r="A13" s="7" t="s">
        <v>11</v>
      </c>
      <c r="B13" s="3" t="s">
        <v>12</v>
      </c>
      <c r="C13" s="23">
        <f>SUM(C14:C17)</f>
        <v>127500</v>
      </c>
      <c r="D13" s="23">
        <f>SUM(D14:D17)</f>
        <v>29012.75</v>
      </c>
      <c r="E13" s="15">
        <f>C13-D13</f>
        <v>98487.25</v>
      </c>
      <c r="G13" s="5"/>
    </row>
    <row r="14" spans="1:9" ht="21" x14ac:dyDescent="0.35">
      <c r="A14" s="7" t="s">
        <v>13</v>
      </c>
      <c r="B14" s="4" t="s">
        <v>14</v>
      </c>
      <c r="C14" s="24">
        <v>68000</v>
      </c>
      <c r="D14" s="19">
        <f>5169.86+4998.13+4840.13</f>
        <v>15008.119999999999</v>
      </c>
      <c r="E14" s="16">
        <f>C14-D14</f>
        <v>52991.880000000005</v>
      </c>
      <c r="G14" s="5"/>
    </row>
    <row r="15" spans="1:9" ht="21" x14ac:dyDescent="0.35">
      <c r="A15" s="7" t="s">
        <v>15</v>
      </c>
      <c r="B15" s="4" t="s">
        <v>16</v>
      </c>
      <c r="C15" s="24">
        <v>20000</v>
      </c>
      <c r="D15" s="19">
        <f>1683.83+1636.44+1586.23</f>
        <v>4906.5</v>
      </c>
      <c r="E15" s="16">
        <f>C15-D15</f>
        <v>15093.5</v>
      </c>
      <c r="G15" s="6"/>
    </row>
    <row r="16" spans="1:9" x14ac:dyDescent="0.3">
      <c r="A16" s="7" t="s">
        <v>17</v>
      </c>
      <c r="B16" s="4" t="s">
        <v>18</v>
      </c>
      <c r="C16" s="24">
        <v>27000</v>
      </c>
      <c r="D16" s="19">
        <f>2114.69+2081.33+2055.75</f>
        <v>6251.77</v>
      </c>
      <c r="E16" s="16">
        <f t="shared" ref="E16:E17" si="1">C16-D16</f>
        <v>20748.23</v>
      </c>
    </row>
    <row r="17" spans="1:6" x14ac:dyDescent="0.3">
      <c r="A17" s="7" t="s">
        <v>19</v>
      </c>
      <c r="B17" s="4" t="s">
        <v>20</v>
      </c>
      <c r="C17" s="24">
        <v>12500</v>
      </c>
      <c r="D17" s="19">
        <f>974.32+940.44+931.6</f>
        <v>2846.36</v>
      </c>
      <c r="E17" s="16">
        <f t="shared" si="1"/>
        <v>9653.64</v>
      </c>
    </row>
    <row r="18" spans="1:6" x14ac:dyDescent="0.3">
      <c r="A18" s="47"/>
      <c r="B18" s="4"/>
      <c r="C18" s="24"/>
      <c r="D18" s="19"/>
      <c r="E18" s="16"/>
    </row>
    <row r="19" spans="1:6" x14ac:dyDescent="0.3">
      <c r="A19" s="48" t="s">
        <v>40</v>
      </c>
      <c r="B19" s="4" t="s">
        <v>29</v>
      </c>
      <c r="C19" s="24">
        <f>SUM(C20:C29)</f>
        <v>107500</v>
      </c>
      <c r="D19" s="17">
        <f>SUM(D20:D29)</f>
        <v>29945.219999999998</v>
      </c>
      <c r="E19" s="15">
        <f t="shared" si="0"/>
        <v>77554.78</v>
      </c>
      <c r="F19" s="52"/>
    </row>
    <row r="20" spans="1:6" x14ac:dyDescent="0.3">
      <c r="A20" s="43" t="s">
        <v>21</v>
      </c>
      <c r="B20" s="44" t="s">
        <v>22</v>
      </c>
      <c r="C20" s="45">
        <v>40000</v>
      </c>
      <c r="D20" s="49">
        <f>4034+3509+3792+3943.5</f>
        <v>15278.5</v>
      </c>
      <c r="E20" s="16">
        <f t="shared" si="0"/>
        <v>24721.5</v>
      </c>
    </row>
    <row r="21" spans="1:6" x14ac:dyDescent="0.3">
      <c r="A21" s="43" t="s">
        <v>41</v>
      </c>
      <c r="B21" s="44" t="s">
        <v>30</v>
      </c>
      <c r="C21" s="45"/>
      <c r="D21" s="46"/>
      <c r="E21" s="15"/>
    </row>
    <row r="22" spans="1:6" x14ac:dyDescent="0.3">
      <c r="A22" s="43" t="s">
        <v>42</v>
      </c>
      <c r="B22" s="44" t="s">
        <v>31</v>
      </c>
      <c r="C22" s="45">
        <v>1000</v>
      </c>
      <c r="D22" s="49"/>
      <c r="E22" s="16">
        <f t="shared" si="0"/>
        <v>1000</v>
      </c>
    </row>
    <row r="23" spans="1:6" x14ac:dyDescent="0.3">
      <c r="A23" s="7" t="s">
        <v>23</v>
      </c>
      <c r="B23" s="12" t="s">
        <v>24</v>
      </c>
      <c r="C23" s="21"/>
      <c r="D23" s="19"/>
      <c r="E23" s="16">
        <f t="shared" si="0"/>
        <v>0</v>
      </c>
    </row>
    <row r="24" spans="1:6" x14ac:dyDescent="0.3">
      <c r="A24" s="7" t="s">
        <v>32</v>
      </c>
      <c r="B24" s="12" t="s">
        <v>33</v>
      </c>
      <c r="C24" s="24">
        <v>15000</v>
      </c>
      <c r="D24" s="19">
        <f>688+323.4+1373.4+858</f>
        <v>3242.8</v>
      </c>
      <c r="E24" s="16">
        <f>C24-D24</f>
        <v>11757.2</v>
      </c>
    </row>
    <row r="25" spans="1:6" x14ac:dyDescent="0.3">
      <c r="A25" s="7" t="s">
        <v>34</v>
      </c>
      <c r="B25" s="4" t="s">
        <v>35</v>
      </c>
      <c r="C25" s="24">
        <v>20000</v>
      </c>
      <c r="D25" s="19">
        <f>234.8+293.18+298.57+191.75</f>
        <v>1018.3</v>
      </c>
      <c r="E25" s="16">
        <f>C25-D25</f>
        <v>18981.7</v>
      </c>
    </row>
    <row r="26" spans="1:6" x14ac:dyDescent="0.3">
      <c r="A26" s="42" t="s">
        <v>44</v>
      </c>
      <c r="B26" s="12" t="s">
        <v>25</v>
      </c>
      <c r="C26" s="24">
        <v>20000</v>
      </c>
      <c r="D26" s="19">
        <f>1793.47+1761.94+1970.64+4619.57</f>
        <v>10145.619999999999</v>
      </c>
      <c r="E26" s="15">
        <f t="shared" si="0"/>
        <v>9854.380000000001</v>
      </c>
    </row>
    <row r="27" spans="1:6" x14ac:dyDescent="0.3">
      <c r="A27" s="42" t="s">
        <v>36</v>
      </c>
      <c r="B27" s="12" t="s">
        <v>37</v>
      </c>
      <c r="C27" s="24">
        <v>10000</v>
      </c>
      <c r="D27" s="19"/>
      <c r="E27" s="16">
        <f t="shared" si="0"/>
        <v>10000</v>
      </c>
    </row>
    <row r="28" spans="1:6" x14ac:dyDescent="0.3">
      <c r="A28" s="42" t="s">
        <v>45</v>
      </c>
      <c r="B28" s="12" t="s">
        <v>38</v>
      </c>
      <c r="C28" s="24">
        <v>1500</v>
      </c>
      <c r="D28" s="19">
        <f>100+40+120</f>
        <v>260</v>
      </c>
      <c r="E28" s="16">
        <f t="shared" si="0"/>
        <v>1240</v>
      </c>
    </row>
    <row r="29" spans="1:6" x14ac:dyDescent="0.3">
      <c r="A29" s="42" t="s">
        <v>46</v>
      </c>
      <c r="B29" s="12" t="s">
        <v>49</v>
      </c>
      <c r="C29" s="24"/>
      <c r="D29" s="19"/>
      <c r="E29" s="16"/>
    </row>
    <row r="30" spans="1:6" x14ac:dyDescent="0.3">
      <c r="A30" s="42" t="s">
        <v>47</v>
      </c>
      <c r="B30" s="12" t="s">
        <v>50</v>
      </c>
      <c r="C30" s="24">
        <v>300</v>
      </c>
      <c r="D30" s="19"/>
      <c r="E30" s="16">
        <f t="shared" si="0"/>
        <v>300</v>
      </c>
    </row>
    <row r="31" spans="1:6" x14ac:dyDescent="0.3">
      <c r="A31" s="7" t="s">
        <v>48</v>
      </c>
      <c r="B31" s="12" t="s">
        <v>51</v>
      </c>
      <c r="C31" s="24"/>
      <c r="D31" s="19"/>
      <c r="E31" s="16">
        <f t="shared" si="0"/>
        <v>0</v>
      </c>
    </row>
    <row r="32" spans="1:6" x14ac:dyDescent="0.3">
      <c r="A32" s="13" t="s">
        <v>26</v>
      </c>
      <c r="B32" s="12" t="s">
        <v>27</v>
      </c>
      <c r="C32" s="25">
        <v>15044</v>
      </c>
      <c r="D32" s="19"/>
      <c r="E32" s="16">
        <f t="shared" si="0"/>
        <v>15044</v>
      </c>
    </row>
    <row r="33" spans="1:6" x14ac:dyDescent="0.3">
      <c r="C33" s="24"/>
      <c r="D33" s="19"/>
      <c r="E33" s="16">
        <f t="shared" si="0"/>
        <v>0</v>
      </c>
    </row>
    <row r="34" spans="1:6" x14ac:dyDescent="0.3">
      <c r="B34" t="s">
        <v>28</v>
      </c>
      <c r="C34" s="26">
        <f>C6+C7+C13+C19+C30+C31</f>
        <v>775939</v>
      </c>
      <c r="D34" s="55">
        <f>D6+D7+D13+D19+D30+D31</f>
        <v>185335.68000000002</v>
      </c>
      <c r="E34" s="26">
        <f>E6+E7+E13+E19+E30+E31</f>
        <v>590603.32000000007</v>
      </c>
    </row>
    <row r="35" spans="1:6" x14ac:dyDescent="0.3">
      <c r="C35" s="50"/>
      <c r="D35" s="20"/>
    </row>
    <row r="36" spans="1:6" x14ac:dyDescent="0.3">
      <c r="A36" s="1" t="s">
        <v>53</v>
      </c>
      <c r="C36" s="50"/>
      <c r="D36" s="56" t="s">
        <v>54</v>
      </c>
      <c r="F36" s="2"/>
    </row>
    <row r="37" spans="1:6" x14ac:dyDescent="0.3">
      <c r="C37" s="50"/>
      <c r="D37" s="20"/>
      <c r="F37" s="2"/>
    </row>
    <row r="38" spans="1:6" s="28" customFormat="1" x14ac:dyDescent="0.3">
      <c r="D38" s="29"/>
      <c r="F38" s="53"/>
    </row>
    <row r="39" spans="1:6" s="28" customFormat="1" ht="21" x14ac:dyDescent="0.35">
      <c r="A39" s="83"/>
      <c r="B39" s="83"/>
      <c r="C39" s="30"/>
      <c r="D39" s="31"/>
      <c r="E39" s="32"/>
      <c r="F39" s="53"/>
    </row>
    <row r="40" spans="1:6" s="28" customFormat="1" x14ac:dyDescent="0.3">
      <c r="B40" s="27"/>
      <c r="C40" s="33"/>
      <c r="D40" s="34"/>
      <c r="E40" s="35"/>
      <c r="F40" s="53"/>
    </row>
    <row r="41" spans="1:6" s="28" customFormat="1" x14ac:dyDescent="0.3">
      <c r="B41" s="27"/>
      <c r="C41" s="36"/>
      <c r="D41" s="37"/>
      <c r="E41" s="35"/>
      <c r="F41" s="53"/>
    </row>
    <row r="42" spans="1:6" s="28" customFormat="1" x14ac:dyDescent="0.3">
      <c r="B42" s="27"/>
      <c r="C42" s="36"/>
      <c r="D42" s="37"/>
      <c r="E42" s="35"/>
      <c r="F42" s="53"/>
    </row>
    <row r="43" spans="1:6" s="28" customFormat="1" x14ac:dyDescent="0.3">
      <c r="B43" s="27"/>
      <c r="C43" s="36"/>
      <c r="D43" s="37"/>
      <c r="E43" s="35"/>
      <c r="F43" s="53"/>
    </row>
    <row r="44" spans="1:6" s="28" customFormat="1" x14ac:dyDescent="0.3">
      <c r="B44" s="27"/>
      <c r="C44" s="36"/>
      <c r="D44" s="37"/>
      <c r="E44" s="35"/>
      <c r="F44" s="53"/>
    </row>
    <row r="45" spans="1:6" s="28" customFormat="1" x14ac:dyDescent="0.3">
      <c r="B45" s="27"/>
      <c r="C45" s="36"/>
      <c r="D45" s="37"/>
      <c r="E45" s="35"/>
      <c r="F45" s="53"/>
    </row>
    <row r="46" spans="1:6" s="28" customFormat="1" x14ac:dyDescent="0.3">
      <c r="B46" s="27"/>
      <c r="C46" s="36"/>
      <c r="D46" s="37"/>
      <c r="E46" s="35"/>
      <c r="F46" s="53"/>
    </row>
    <row r="47" spans="1:6" s="28" customFormat="1" x14ac:dyDescent="0.3">
      <c r="B47" s="27"/>
      <c r="C47" s="36"/>
      <c r="D47" s="37"/>
      <c r="E47" s="35"/>
      <c r="F47" s="53"/>
    </row>
    <row r="48" spans="1:6" s="28" customFormat="1" x14ac:dyDescent="0.3">
      <c r="B48" s="27"/>
      <c r="C48" s="36"/>
      <c r="D48" s="37"/>
      <c r="E48" s="35"/>
      <c r="F48" s="54"/>
    </row>
    <row r="49" spans="1:6" s="28" customFormat="1" x14ac:dyDescent="0.3">
      <c r="B49" s="27"/>
      <c r="C49" s="36"/>
      <c r="D49" s="37"/>
      <c r="E49" s="35"/>
      <c r="F49" s="53"/>
    </row>
    <row r="50" spans="1:6" s="28" customFormat="1" x14ac:dyDescent="0.3">
      <c r="B50" s="27"/>
      <c r="C50" s="36"/>
      <c r="D50" s="37"/>
      <c r="E50" s="35"/>
      <c r="F50" s="53"/>
    </row>
    <row r="51" spans="1:6" s="28" customFormat="1" x14ac:dyDescent="0.3">
      <c r="B51" s="27"/>
      <c r="C51" s="36"/>
      <c r="D51" s="37"/>
      <c r="E51" s="35"/>
      <c r="F51" s="53"/>
    </row>
    <row r="52" spans="1:6" s="28" customFormat="1" x14ac:dyDescent="0.3">
      <c r="B52" s="27"/>
      <c r="C52" s="36"/>
      <c r="D52" s="37"/>
      <c r="E52" s="35"/>
      <c r="F52" s="53"/>
    </row>
    <row r="53" spans="1:6" s="28" customFormat="1" x14ac:dyDescent="0.3">
      <c r="C53" s="33"/>
      <c r="D53" s="34"/>
      <c r="E53" s="35"/>
      <c r="F53" s="53"/>
    </row>
    <row r="54" spans="1:6" s="28" customFormat="1" x14ac:dyDescent="0.3">
      <c r="C54" s="35"/>
      <c r="D54" s="34"/>
      <c r="E54" s="35"/>
      <c r="F54" s="53"/>
    </row>
    <row r="55" spans="1:6" s="28" customFormat="1" x14ac:dyDescent="0.3">
      <c r="C55" s="35"/>
      <c r="D55" s="34"/>
      <c r="E55" s="35"/>
      <c r="F55" s="53"/>
    </row>
    <row r="56" spans="1:6" s="28" customFormat="1" x14ac:dyDescent="0.3">
      <c r="A56" s="39"/>
      <c r="C56" s="40"/>
      <c r="D56" s="27"/>
      <c r="F56" s="53"/>
    </row>
    <row r="57" spans="1:6" s="28" customFormat="1" x14ac:dyDescent="0.3">
      <c r="C57" s="41"/>
      <c r="D57" s="41"/>
      <c r="F57" s="53"/>
    </row>
    <row r="58" spans="1:6" s="28" customFormat="1" x14ac:dyDescent="0.3">
      <c r="A58" s="38"/>
      <c r="B58" s="27"/>
      <c r="C58" s="27"/>
      <c r="D58" s="27"/>
      <c r="F58" s="53"/>
    </row>
    <row r="59" spans="1:6" s="28" customFormat="1" x14ac:dyDescent="0.3">
      <c r="B59" s="27"/>
      <c r="C59" s="27"/>
      <c r="D59" s="27"/>
      <c r="F59" s="53"/>
    </row>
    <row r="60" spans="1:6" s="28" customFormat="1" x14ac:dyDescent="0.3">
      <c r="B60" s="27"/>
      <c r="C60" s="27"/>
      <c r="D60" s="27"/>
      <c r="F60" s="53"/>
    </row>
    <row r="61" spans="1:6" s="28" customFormat="1" x14ac:dyDescent="0.3">
      <c r="A61" s="38"/>
      <c r="B61" s="27"/>
      <c r="C61" s="27"/>
      <c r="D61" s="27"/>
      <c r="F61" s="53"/>
    </row>
    <row r="62" spans="1:6" s="28" customFormat="1" x14ac:dyDescent="0.3">
      <c r="A62" s="38"/>
      <c r="B62" s="27"/>
      <c r="C62" s="27"/>
      <c r="D62" s="27"/>
      <c r="F62" s="53"/>
    </row>
    <row r="63" spans="1:6" s="28" customFormat="1" x14ac:dyDescent="0.3">
      <c r="A63" s="38"/>
      <c r="B63" s="27"/>
      <c r="C63" s="27"/>
      <c r="D63" s="27"/>
      <c r="F63" s="53"/>
    </row>
    <row r="64" spans="1:6" s="28" customFormat="1" x14ac:dyDescent="0.3">
      <c r="A64" s="38"/>
      <c r="B64" s="27"/>
      <c r="C64" s="27"/>
      <c r="D64" s="27"/>
      <c r="F64" s="53"/>
    </row>
    <row r="65" spans="6:6" s="28" customFormat="1" x14ac:dyDescent="0.3">
      <c r="F65" s="53"/>
    </row>
  </sheetData>
  <mergeCells count="3">
    <mergeCell ref="A5:B5"/>
    <mergeCell ref="A6:A7"/>
    <mergeCell ref="A39:B39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5" max="3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10" workbookViewId="0">
      <selection activeCell="C24" sqref="C24"/>
    </sheetView>
  </sheetViews>
  <sheetFormatPr defaultRowHeight="18.75" x14ac:dyDescent="0.3"/>
  <cols>
    <col min="1" max="1" width="28.85546875" customWidth="1"/>
    <col min="2" max="2" width="11.42578125" customWidth="1"/>
    <col min="3" max="3" width="14.28515625" customWidth="1"/>
    <col min="4" max="4" width="15" customWidth="1"/>
    <col min="5" max="5" width="14.5703125" customWidth="1"/>
    <col min="6" max="6" width="11.42578125" style="1" customWidth="1"/>
    <col min="7" max="7" width="10.5703125" bestFit="1" customWidth="1"/>
    <col min="9" max="9" width="10.5703125" customWidth="1"/>
  </cols>
  <sheetData>
    <row r="1" spans="1:9" x14ac:dyDescent="0.3">
      <c r="B1" s="1" t="s">
        <v>56</v>
      </c>
      <c r="D1" s="1"/>
    </row>
    <row r="2" spans="1:9" x14ac:dyDescent="0.3">
      <c r="B2" s="1" t="s">
        <v>52</v>
      </c>
      <c r="D2" s="1"/>
    </row>
    <row r="3" spans="1:9" x14ac:dyDescent="0.3">
      <c r="B3" s="1"/>
      <c r="C3" s="1"/>
      <c r="D3" s="1"/>
    </row>
    <row r="4" spans="1:9" ht="19.5" thickBot="1" x14ac:dyDescent="0.35">
      <c r="E4" s="1"/>
      <c r="G4" s="1"/>
    </row>
    <row r="5" spans="1:9" ht="42.75" thickBot="1" x14ac:dyDescent="0.4">
      <c r="A5" s="79" t="s">
        <v>43</v>
      </c>
      <c r="B5" s="80"/>
      <c r="C5" s="8" t="s">
        <v>55</v>
      </c>
      <c r="D5" s="9" t="s">
        <v>58</v>
      </c>
      <c r="E5" s="10" t="s">
        <v>39</v>
      </c>
      <c r="F5" s="2"/>
      <c r="G5" s="2"/>
      <c r="I5" s="51"/>
    </row>
    <row r="6" spans="1:9" x14ac:dyDescent="0.3">
      <c r="A6" s="81" t="s">
        <v>0</v>
      </c>
      <c r="B6" s="11" t="s">
        <v>1</v>
      </c>
      <c r="C6" s="22">
        <f>549784-30145-1500+27000</f>
        <v>545139</v>
      </c>
      <c r="D6" s="18">
        <f>42312.4+40527.12+39636.72+52141.67</f>
        <v>174617.91</v>
      </c>
      <c r="E6" s="14">
        <f>C6-D6</f>
        <v>370521.08999999997</v>
      </c>
      <c r="F6" s="2"/>
    </row>
    <row r="7" spans="1:9" x14ac:dyDescent="0.3">
      <c r="A7" s="82"/>
      <c r="B7" s="3" t="s">
        <v>2</v>
      </c>
      <c r="C7" s="23">
        <f>SUM(C8:C11)</f>
        <v>22500</v>
      </c>
      <c r="D7" s="17">
        <f>SUM(D8:D11)</f>
        <v>4831.58</v>
      </c>
      <c r="E7" s="15">
        <f t="shared" ref="E7:E33" si="0">C7-D7</f>
        <v>17668.419999999998</v>
      </c>
      <c r="F7" s="2"/>
      <c r="G7" s="2"/>
    </row>
    <row r="8" spans="1:9" x14ac:dyDescent="0.3">
      <c r="A8" s="7" t="s">
        <v>3</v>
      </c>
      <c r="B8" s="4" t="s">
        <v>4</v>
      </c>
      <c r="C8" s="24">
        <v>2000</v>
      </c>
      <c r="D8" s="19"/>
      <c r="E8" s="16">
        <f t="shared" si="0"/>
        <v>2000</v>
      </c>
    </row>
    <row r="9" spans="1:9" x14ac:dyDescent="0.3">
      <c r="A9" s="7" t="s">
        <v>5</v>
      </c>
      <c r="B9" s="4" t="s">
        <v>6</v>
      </c>
      <c r="C9" s="24">
        <v>18000</v>
      </c>
      <c r="D9" s="19">
        <f>787.16+787.16+787.16+763.15</f>
        <v>3124.63</v>
      </c>
      <c r="E9" s="16">
        <f t="shared" si="0"/>
        <v>14875.369999999999</v>
      </c>
      <c r="F9" s="2"/>
      <c r="G9" s="2"/>
    </row>
    <row r="10" spans="1:9" x14ac:dyDescent="0.3">
      <c r="A10" s="7" t="s">
        <v>7</v>
      </c>
      <c r="B10" s="4" t="s">
        <v>8</v>
      </c>
      <c r="C10" s="21"/>
      <c r="D10" s="19"/>
      <c r="E10" s="16">
        <f t="shared" si="0"/>
        <v>0</v>
      </c>
      <c r="F10" s="2"/>
      <c r="G10" s="2"/>
    </row>
    <row r="11" spans="1:9" x14ac:dyDescent="0.3">
      <c r="A11" s="7" t="s">
        <v>9</v>
      </c>
      <c r="B11" s="4" t="s">
        <v>10</v>
      </c>
      <c r="C11" s="24">
        <v>2500</v>
      </c>
      <c r="D11" s="19">
        <f>406.1+711.39+422.5+166.96</f>
        <v>1706.95</v>
      </c>
      <c r="E11" s="16">
        <f t="shared" si="0"/>
        <v>793.05</v>
      </c>
      <c r="F11" s="2"/>
      <c r="G11" s="2"/>
    </row>
    <row r="12" spans="1:9" x14ac:dyDescent="0.3">
      <c r="A12" s="7"/>
      <c r="B12" s="4"/>
      <c r="C12" s="24"/>
      <c r="D12" s="19"/>
      <c r="E12" s="16"/>
    </row>
    <row r="13" spans="1:9" ht="21" x14ac:dyDescent="0.35">
      <c r="A13" s="7" t="s">
        <v>11</v>
      </c>
      <c r="B13" s="3" t="s">
        <v>12</v>
      </c>
      <c r="C13" s="23">
        <f>SUM(C14:C17)</f>
        <v>127500</v>
      </c>
      <c r="D13" s="23">
        <f>SUM(D14:D17)</f>
        <v>40955.699999999997</v>
      </c>
      <c r="E13" s="15">
        <f>C13-D13</f>
        <v>86544.3</v>
      </c>
      <c r="G13" s="5"/>
    </row>
    <row r="14" spans="1:9" ht="21" x14ac:dyDescent="0.35">
      <c r="A14" s="7" t="s">
        <v>13</v>
      </c>
      <c r="B14" s="4" t="s">
        <v>14</v>
      </c>
      <c r="C14" s="24">
        <v>68000</v>
      </c>
      <c r="D14" s="19">
        <f>5169.86+4998.13+4840.13+6224.9</f>
        <v>21233.019999999997</v>
      </c>
      <c r="E14" s="16">
        <f>C14-D14</f>
        <v>46766.98</v>
      </c>
      <c r="G14" s="5"/>
    </row>
    <row r="15" spans="1:9" ht="21" x14ac:dyDescent="0.35">
      <c r="A15" s="7" t="s">
        <v>15</v>
      </c>
      <c r="B15" s="4" t="s">
        <v>16</v>
      </c>
      <c r="C15" s="24">
        <v>20000</v>
      </c>
      <c r="D15" s="19">
        <f>1683.83+1636.44+1586.23+2022.36</f>
        <v>6928.86</v>
      </c>
      <c r="E15" s="16">
        <f>C15-D15</f>
        <v>13071.14</v>
      </c>
      <c r="G15" s="6"/>
    </row>
    <row r="16" spans="1:9" x14ac:dyDescent="0.3">
      <c r="A16" s="7" t="s">
        <v>17</v>
      </c>
      <c r="B16" s="4" t="s">
        <v>18</v>
      </c>
      <c r="C16" s="24">
        <v>27000</v>
      </c>
      <c r="D16" s="19">
        <f>2114.69+2081.33+2055.75+2532.53</f>
        <v>8784.3000000000011</v>
      </c>
      <c r="E16" s="16">
        <f t="shared" ref="E16:E17" si="1">C16-D16</f>
        <v>18215.699999999997</v>
      </c>
    </row>
    <row r="17" spans="1:6" x14ac:dyDescent="0.3">
      <c r="A17" s="7" t="s">
        <v>19</v>
      </c>
      <c r="B17" s="4" t="s">
        <v>20</v>
      </c>
      <c r="C17" s="24">
        <v>12500</v>
      </c>
      <c r="D17" s="19">
        <f>974.32+940.44+931.6+1163.16</f>
        <v>4009.5200000000004</v>
      </c>
      <c r="E17" s="16">
        <f t="shared" si="1"/>
        <v>8490.48</v>
      </c>
    </row>
    <row r="18" spans="1:6" x14ac:dyDescent="0.3">
      <c r="A18" s="47"/>
      <c r="B18" s="4"/>
      <c r="C18" s="24"/>
      <c r="D18" s="19"/>
      <c r="E18" s="16"/>
    </row>
    <row r="19" spans="1:6" x14ac:dyDescent="0.3">
      <c r="A19" s="48" t="s">
        <v>40</v>
      </c>
      <c r="B19" s="4" t="s">
        <v>29</v>
      </c>
      <c r="C19" s="24">
        <f>SUM(C20:C29)</f>
        <v>129958</v>
      </c>
      <c r="D19" s="17">
        <f>SUM(D20:D29)</f>
        <v>35923.5</v>
      </c>
      <c r="E19" s="15">
        <f t="shared" si="0"/>
        <v>94034.5</v>
      </c>
      <c r="F19" s="52"/>
    </row>
    <row r="20" spans="1:6" x14ac:dyDescent="0.3">
      <c r="A20" s="43" t="s">
        <v>21</v>
      </c>
      <c r="B20" s="44" t="s">
        <v>22</v>
      </c>
      <c r="C20" s="45">
        <v>40000</v>
      </c>
      <c r="D20" s="49">
        <f>4034+3509+3792+3943.5+3321</f>
        <v>18599.5</v>
      </c>
      <c r="E20" s="16">
        <f t="shared" si="0"/>
        <v>21400.5</v>
      </c>
    </row>
    <row r="21" spans="1:6" x14ac:dyDescent="0.3">
      <c r="A21" s="43" t="s">
        <v>41</v>
      </c>
      <c r="B21" s="44" t="s">
        <v>30</v>
      </c>
      <c r="C21" s="45"/>
      <c r="D21" s="46"/>
      <c r="E21" s="15"/>
    </row>
    <row r="22" spans="1:6" x14ac:dyDescent="0.3">
      <c r="A22" s="43" t="s">
        <v>42</v>
      </c>
      <c r="B22" s="44" t="s">
        <v>31</v>
      </c>
      <c r="C22" s="45">
        <v>1000</v>
      </c>
      <c r="D22" s="49"/>
      <c r="E22" s="16">
        <f t="shared" si="0"/>
        <v>1000</v>
      </c>
    </row>
    <row r="23" spans="1:6" x14ac:dyDescent="0.3">
      <c r="A23" s="7" t="s">
        <v>23</v>
      </c>
      <c r="B23" s="12" t="s">
        <v>24</v>
      </c>
      <c r="C23" s="21"/>
      <c r="D23" s="19"/>
      <c r="E23" s="16">
        <f t="shared" si="0"/>
        <v>0</v>
      </c>
    </row>
    <row r="24" spans="1:6" x14ac:dyDescent="0.3">
      <c r="A24" s="7" t="s">
        <v>32</v>
      </c>
      <c r="B24" s="12" t="s">
        <v>33</v>
      </c>
      <c r="C24" s="24">
        <f>15000+22458</f>
        <v>37458</v>
      </c>
      <c r="D24" s="19">
        <f>688+323.4+1373.4+858+239.38</f>
        <v>3482.1800000000003</v>
      </c>
      <c r="E24" s="16">
        <f>C24-D24</f>
        <v>33975.82</v>
      </c>
    </row>
    <row r="25" spans="1:6" x14ac:dyDescent="0.3">
      <c r="A25" s="7" t="s">
        <v>34</v>
      </c>
      <c r="B25" s="4" t="s">
        <v>35</v>
      </c>
      <c r="C25" s="24">
        <v>20000</v>
      </c>
      <c r="D25" s="19">
        <f>234.8+293.18+298.57+191.75+243.66</f>
        <v>1261.96</v>
      </c>
      <c r="E25" s="16">
        <f>C25-D25</f>
        <v>18738.04</v>
      </c>
    </row>
    <row r="26" spans="1:6" x14ac:dyDescent="0.3">
      <c r="A26" s="42" t="s">
        <v>44</v>
      </c>
      <c r="B26" s="12" t="s">
        <v>25</v>
      </c>
      <c r="C26" s="24">
        <v>20000</v>
      </c>
      <c r="D26" s="19">
        <f>1793.47+1761.94+1970.64+4619.57+2074.24</f>
        <v>12219.859999999999</v>
      </c>
      <c r="E26" s="15">
        <f t="shared" si="0"/>
        <v>7780.1400000000012</v>
      </c>
    </row>
    <row r="27" spans="1:6" x14ac:dyDescent="0.3">
      <c r="A27" s="42" t="s">
        <v>36</v>
      </c>
      <c r="B27" s="12" t="s">
        <v>37</v>
      </c>
      <c r="C27" s="24">
        <v>10000</v>
      </c>
      <c r="D27" s="19"/>
      <c r="E27" s="16">
        <f t="shared" si="0"/>
        <v>10000</v>
      </c>
    </row>
    <row r="28" spans="1:6" x14ac:dyDescent="0.3">
      <c r="A28" s="42" t="s">
        <v>45</v>
      </c>
      <c r="B28" s="12" t="s">
        <v>38</v>
      </c>
      <c r="C28" s="24">
        <v>1500</v>
      </c>
      <c r="D28" s="19">
        <f>100+40+120+100</f>
        <v>360</v>
      </c>
      <c r="E28" s="16">
        <f t="shared" si="0"/>
        <v>1140</v>
      </c>
    </row>
    <row r="29" spans="1:6" x14ac:dyDescent="0.3">
      <c r="A29" s="42" t="s">
        <v>46</v>
      </c>
      <c r="B29" s="12" t="s">
        <v>49</v>
      </c>
      <c r="C29" s="24"/>
      <c r="D29" s="19"/>
      <c r="E29" s="16"/>
    </row>
    <row r="30" spans="1:6" x14ac:dyDescent="0.3">
      <c r="A30" s="42" t="s">
        <v>47</v>
      </c>
      <c r="B30" s="12" t="s">
        <v>50</v>
      </c>
      <c r="C30" s="24">
        <v>300</v>
      </c>
      <c r="D30" s="19"/>
      <c r="E30" s="16">
        <f t="shared" si="0"/>
        <v>300</v>
      </c>
    </row>
    <row r="31" spans="1:6" x14ac:dyDescent="0.3">
      <c r="A31" s="7" t="s">
        <v>48</v>
      </c>
      <c r="B31" s="12" t="s">
        <v>51</v>
      </c>
      <c r="C31" s="24"/>
      <c r="D31" s="19"/>
      <c r="E31" s="16">
        <f t="shared" si="0"/>
        <v>0</v>
      </c>
    </row>
    <row r="32" spans="1:6" x14ac:dyDescent="0.3">
      <c r="A32" s="13" t="s">
        <v>26</v>
      </c>
      <c r="B32" s="12" t="s">
        <v>27</v>
      </c>
      <c r="C32" s="25">
        <v>15044</v>
      </c>
      <c r="D32" s="19"/>
      <c r="E32" s="16">
        <f t="shared" si="0"/>
        <v>15044</v>
      </c>
    </row>
    <row r="33" spans="1:6" x14ac:dyDescent="0.3">
      <c r="C33" s="24"/>
      <c r="D33" s="19"/>
      <c r="E33" s="16">
        <f t="shared" si="0"/>
        <v>0</v>
      </c>
    </row>
    <row r="34" spans="1:6" x14ac:dyDescent="0.3">
      <c r="B34" t="s">
        <v>28</v>
      </c>
      <c r="C34" s="26">
        <f>C6+C7+C13+C19+C30+C31</f>
        <v>825397</v>
      </c>
      <c r="D34" s="55">
        <f>D6+D7+D13+D19+D30+D31</f>
        <v>256328.69</v>
      </c>
      <c r="E34" s="26">
        <f>E6+E7+E13+E19+E30+E31</f>
        <v>569068.30999999994</v>
      </c>
    </row>
    <row r="35" spans="1:6" x14ac:dyDescent="0.3">
      <c r="C35" s="50"/>
      <c r="D35" s="20"/>
    </row>
    <row r="36" spans="1:6" x14ac:dyDescent="0.3">
      <c r="A36" s="1" t="s">
        <v>53</v>
      </c>
      <c r="C36" s="50"/>
      <c r="D36" s="56" t="s">
        <v>54</v>
      </c>
      <c r="F36" s="2"/>
    </row>
    <row r="37" spans="1:6" x14ac:dyDescent="0.3">
      <c r="C37" s="50"/>
      <c r="D37" s="20"/>
      <c r="F37" s="2"/>
    </row>
    <row r="38" spans="1:6" s="28" customFormat="1" x14ac:dyDescent="0.3">
      <c r="D38" s="29"/>
      <c r="F38" s="53"/>
    </row>
    <row r="39" spans="1:6" s="28" customFormat="1" ht="21" x14ac:dyDescent="0.35">
      <c r="A39" s="83"/>
      <c r="B39" s="83"/>
      <c r="C39" s="30"/>
      <c r="D39" s="31"/>
      <c r="E39" s="32"/>
      <c r="F39" s="53"/>
    </row>
    <row r="40" spans="1:6" s="28" customFormat="1" x14ac:dyDescent="0.3">
      <c r="B40" s="27"/>
      <c r="C40" s="33"/>
      <c r="D40" s="34"/>
      <c r="E40" s="35"/>
      <c r="F40" s="53"/>
    </row>
    <row r="41" spans="1:6" s="28" customFormat="1" x14ac:dyDescent="0.3">
      <c r="B41" s="27"/>
      <c r="C41" s="36"/>
      <c r="D41" s="37"/>
      <c r="E41" s="35"/>
      <c r="F41" s="53"/>
    </row>
    <row r="42" spans="1:6" s="28" customFormat="1" x14ac:dyDescent="0.3">
      <c r="B42" s="27"/>
      <c r="C42" s="36"/>
      <c r="D42" s="37"/>
      <c r="E42" s="35"/>
      <c r="F42" s="53"/>
    </row>
    <row r="43" spans="1:6" s="28" customFormat="1" x14ac:dyDescent="0.3">
      <c r="B43" s="27"/>
      <c r="C43" s="36"/>
      <c r="D43" s="37"/>
      <c r="E43" s="35"/>
      <c r="F43" s="53"/>
    </row>
    <row r="44" spans="1:6" s="28" customFormat="1" x14ac:dyDescent="0.3">
      <c r="B44" s="27"/>
      <c r="C44" s="36"/>
      <c r="D44" s="37"/>
      <c r="E44" s="35"/>
      <c r="F44" s="53"/>
    </row>
    <row r="45" spans="1:6" s="28" customFormat="1" x14ac:dyDescent="0.3">
      <c r="B45" s="27"/>
      <c r="C45" s="36"/>
      <c r="D45" s="37"/>
      <c r="E45" s="35"/>
      <c r="F45" s="53"/>
    </row>
    <row r="46" spans="1:6" s="28" customFormat="1" x14ac:dyDescent="0.3">
      <c r="B46" s="27"/>
      <c r="C46" s="36"/>
      <c r="D46" s="37"/>
      <c r="E46" s="35"/>
      <c r="F46" s="53"/>
    </row>
    <row r="47" spans="1:6" s="28" customFormat="1" x14ac:dyDescent="0.3">
      <c r="B47" s="27"/>
      <c r="C47" s="36"/>
      <c r="D47" s="37"/>
      <c r="E47" s="35"/>
      <c r="F47" s="53"/>
    </row>
    <row r="48" spans="1:6" s="28" customFormat="1" x14ac:dyDescent="0.3">
      <c r="B48" s="27"/>
      <c r="C48" s="36"/>
      <c r="D48" s="37"/>
      <c r="E48" s="35"/>
      <c r="F48" s="54"/>
    </row>
    <row r="49" spans="1:6" s="28" customFormat="1" x14ac:dyDescent="0.3">
      <c r="B49" s="27"/>
      <c r="C49" s="36"/>
      <c r="D49" s="37"/>
      <c r="E49" s="35"/>
      <c r="F49" s="53"/>
    </row>
    <row r="50" spans="1:6" s="28" customFormat="1" x14ac:dyDescent="0.3">
      <c r="B50" s="27"/>
      <c r="C50" s="36"/>
      <c r="D50" s="37"/>
      <c r="E50" s="35"/>
      <c r="F50" s="53"/>
    </row>
    <row r="51" spans="1:6" s="28" customFormat="1" x14ac:dyDescent="0.3">
      <c r="B51" s="27"/>
      <c r="C51" s="36"/>
      <c r="D51" s="37"/>
      <c r="E51" s="35"/>
      <c r="F51" s="53"/>
    </row>
    <row r="52" spans="1:6" s="28" customFormat="1" x14ac:dyDescent="0.3">
      <c r="B52" s="27"/>
      <c r="C52" s="36"/>
      <c r="D52" s="37"/>
      <c r="E52" s="35"/>
      <c r="F52" s="53"/>
    </row>
    <row r="53" spans="1:6" s="28" customFormat="1" x14ac:dyDescent="0.3">
      <c r="C53" s="33"/>
      <c r="D53" s="34"/>
      <c r="E53" s="35"/>
      <c r="F53" s="53"/>
    </row>
    <row r="54" spans="1:6" s="28" customFormat="1" x14ac:dyDescent="0.3">
      <c r="C54" s="35"/>
      <c r="D54" s="34"/>
      <c r="E54" s="35"/>
      <c r="F54" s="53"/>
    </row>
    <row r="55" spans="1:6" s="28" customFormat="1" x14ac:dyDescent="0.3">
      <c r="C55" s="35"/>
      <c r="D55" s="34"/>
      <c r="E55" s="35"/>
      <c r="F55" s="53"/>
    </row>
    <row r="56" spans="1:6" s="28" customFormat="1" x14ac:dyDescent="0.3">
      <c r="A56" s="39"/>
      <c r="C56" s="40"/>
      <c r="D56" s="27"/>
      <c r="F56" s="53"/>
    </row>
    <row r="57" spans="1:6" s="28" customFormat="1" x14ac:dyDescent="0.3">
      <c r="C57" s="41"/>
      <c r="D57" s="41"/>
      <c r="F57" s="53"/>
    </row>
    <row r="58" spans="1:6" s="28" customFormat="1" x14ac:dyDescent="0.3">
      <c r="A58" s="38"/>
      <c r="B58" s="27"/>
      <c r="C58" s="27"/>
      <c r="D58" s="27"/>
      <c r="F58" s="53"/>
    </row>
    <row r="59" spans="1:6" s="28" customFormat="1" x14ac:dyDescent="0.3">
      <c r="B59" s="27"/>
      <c r="C59" s="27"/>
      <c r="D59" s="27"/>
      <c r="F59" s="53"/>
    </row>
    <row r="60" spans="1:6" s="28" customFormat="1" x14ac:dyDescent="0.3">
      <c r="B60" s="27"/>
      <c r="C60" s="27"/>
      <c r="D60" s="27"/>
      <c r="F60" s="53"/>
    </row>
    <row r="61" spans="1:6" s="28" customFormat="1" x14ac:dyDescent="0.3">
      <c r="A61" s="38"/>
      <c r="B61" s="27"/>
      <c r="C61" s="27"/>
      <c r="D61" s="27"/>
      <c r="F61" s="53"/>
    </row>
    <row r="62" spans="1:6" s="28" customFormat="1" x14ac:dyDescent="0.3">
      <c r="A62" s="38"/>
      <c r="B62" s="27"/>
      <c r="C62" s="27"/>
      <c r="D62" s="27"/>
      <c r="F62" s="53"/>
    </row>
    <row r="63" spans="1:6" s="28" customFormat="1" x14ac:dyDescent="0.3">
      <c r="A63" s="38"/>
      <c r="B63" s="27"/>
      <c r="C63" s="27"/>
      <c r="D63" s="27"/>
      <c r="F63" s="53"/>
    </row>
    <row r="64" spans="1:6" s="28" customFormat="1" x14ac:dyDescent="0.3">
      <c r="A64" s="38"/>
      <c r="B64" s="27"/>
      <c r="C64" s="27"/>
      <c r="D64" s="27"/>
      <c r="F64" s="53"/>
    </row>
    <row r="65" spans="6:6" s="28" customFormat="1" x14ac:dyDescent="0.3">
      <c r="F65" s="53"/>
    </row>
  </sheetData>
  <mergeCells count="3">
    <mergeCell ref="A5:B5"/>
    <mergeCell ref="A6:A7"/>
    <mergeCell ref="A39:B3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opLeftCell="A6" workbookViewId="0">
      <selection activeCell="D34" sqref="D34"/>
    </sheetView>
  </sheetViews>
  <sheetFormatPr defaultRowHeight="18.75" x14ac:dyDescent="0.3"/>
  <cols>
    <col min="1" max="1" width="28.85546875" customWidth="1"/>
    <col min="2" max="2" width="11.42578125" customWidth="1"/>
    <col min="3" max="3" width="14.28515625" customWidth="1"/>
    <col min="4" max="4" width="15" customWidth="1"/>
    <col min="5" max="5" width="14.5703125" customWidth="1"/>
    <col min="6" max="6" width="11.42578125" style="1" customWidth="1"/>
    <col min="7" max="7" width="10.5703125" bestFit="1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</cols>
  <sheetData>
    <row r="1" spans="1:12" x14ac:dyDescent="0.3">
      <c r="B1" s="1" t="s">
        <v>56</v>
      </c>
      <c r="D1" s="1"/>
      <c r="I1" s="1" t="s">
        <v>60</v>
      </c>
      <c r="K1" s="1"/>
    </row>
    <row r="2" spans="1:12" x14ac:dyDescent="0.3">
      <c r="B2" s="1" t="s">
        <v>52</v>
      </c>
      <c r="D2" s="1"/>
      <c r="I2" s="1" t="s">
        <v>52</v>
      </c>
      <c r="K2" s="1"/>
    </row>
    <row r="3" spans="1:12" x14ac:dyDescent="0.3">
      <c r="B3" s="1"/>
      <c r="C3" s="1"/>
      <c r="D3" s="1"/>
      <c r="I3" s="1"/>
      <c r="J3" s="1"/>
      <c r="K3" s="1"/>
    </row>
    <row r="4" spans="1:12" ht="19.5" thickBot="1" x14ac:dyDescent="0.35">
      <c r="E4" s="1"/>
      <c r="G4" s="1"/>
      <c r="L4" s="1"/>
    </row>
    <row r="5" spans="1:12" ht="42.75" thickBot="1" x14ac:dyDescent="0.4">
      <c r="A5" s="79" t="s">
        <v>43</v>
      </c>
      <c r="B5" s="80"/>
      <c r="C5" s="8" t="s">
        <v>55</v>
      </c>
      <c r="D5" s="9" t="s">
        <v>59</v>
      </c>
      <c r="E5" s="10" t="s">
        <v>39</v>
      </c>
      <c r="F5" s="2"/>
      <c r="G5" s="2"/>
      <c r="H5" s="79" t="s">
        <v>43</v>
      </c>
      <c r="I5" s="80"/>
      <c r="J5" s="8" t="s">
        <v>55</v>
      </c>
      <c r="K5" s="9" t="s">
        <v>59</v>
      </c>
      <c r="L5" s="10" t="s">
        <v>39</v>
      </c>
    </row>
    <row r="6" spans="1:12" x14ac:dyDescent="0.3">
      <c r="A6" s="81" t="s">
        <v>0</v>
      </c>
      <c r="B6" s="11" t="s">
        <v>1</v>
      </c>
      <c r="C6" s="22">
        <f>549784-30145-1500+27000</f>
        <v>545139</v>
      </c>
      <c r="D6" s="18">
        <f>42312.4+40527.12+39636.72+52141.67+42181.53-74.64</f>
        <v>216724.8</v>
      </c>
      <c r="E6" s="14">
        <f>C6-D6</f>
        <v>328414.2</v>
      </c>
      <c r="F6" s="2"/>
      <c r="H6" s="81" t="s">
        <v>0</v>
      </c>
      <c r="I6" s="11" t="s">
        <v>1</v>
      </c>
      <c r="J6" s="22"/>
      <c r="K6" s="18"/>
      <c r="L6" s="14">
        <f>J6-K6</f>
        <v>0</v>
      </c>
    </row>
    <row r="7" spans="1:12" x14ac:dyDescent="0.3">
      <c r="A7" s="82"/>
      <c r="B7" s="3" t="s">
        <v>2</v>
      </c>
      <c r="C7" s="23">
        <f>SUM(C8:C11)</f>
        <v>22500</v>
      </c>
      <c r="D7" s="17">
        <f>SUM(D8:D11)</f>
        <v>5859.66</v>
      </c>
      <c r="E7" s="15">
        <f t="shared" ref="E7:E33" si="0">C7-D7</f>
        <v>16640.34</v>
      </c>
      <c r="F7" s="2"/>
      <c r="G7" s="2"/>
      <c r="H7" s="82"/>
      <c r="I7" s="3" t="s">
        <v>2</v>
      </c>
      <c r="J7" s="23"/>
      <c r="K7" s="17"/>
      <c r="L7" s="15">
        <f t="shared" ref="L7:L11" si="1">J7-K7</f>
        <v>0</v>
      </c>
    </row>
    <row r="8" spans="1:12" x14ac:dyDescent="0.3">
      <c r="A8" s="7" t="s">
        <v>3</v>
      </c>
      <c r="B8" s="4" t="s">
        <v>4</v>
      </c>
      <c r="C8" s="24">
        <v>2000</v>
      </c>
      <c r="D8" s="19"/>
      <c r="E8" s="16">
        <f t="shared" si="0"/>
        <v>2000</v>
      </c>
      <c r="H8" s="7" t="s">
        <v>3</v>
      </c>
      <c r="I8" s="4" t="s">
        <v>4</v>
      </c>
      <c r="J8" s="24"/>
      <c r="K8" s="19"/>
      <c r="L8" s="16">
        <f t="shared" si="1"/>
        <v>0</v>
      </c>
    </row>
    <row r="9" spans="1:12" x14ac:dyDescent="0.3">
      <c r="A9" s="7" t="s">
        <v>5</v>
      </c>
      <c r="B9" s="4" t="s">
        <v>6</v>
      </c>
      <c r="C9" s="24">
        <v>18000</v>
      </c>
      <c r="D9" s="19">
        <f>787.16+787.16+787.16+763.15+763.15</f>
        <v>3887.78</v>
      </c>
      <c r="E9" s="16">
        <f t="shared" si="0"/>
        <v>14112.22</v>
      </c>
      <c r="F9" s="2"/>
      <c r="G9" s="2"/>
      <c r="H9" s="7" t="s">
        <v>5</v>
      </c>
      <c r="I9" s="4" t="s">
        <v>6</v>
      </c>
      <c r="J9" s="24"/>
      <c r="K9" s="19"/>
      <c r="L9" s="16">
        <f t="shared" si="1"/>
        <v>0</v>
      </c>
    </row>
    <row r="10" spans="1:12" x14ac:dyDescent="0.3">
      <c r="A10" s="7" t="s">
        <v>7</v>
      </c>
      <c r="B10" s="4" t="s">
        <v>8</v>
      </c>
      <c r="C10" s="21"/>
      <c r="D10" s="19"/>
      <c r="E10" s="16">
        <f t="shared" si="0"/>
        <v>0</v>
      </c>
      <c r="F10" s="2"/>
      <c r="G10" s="2"/>
      <c r="H10" s="7" t="s">
        <v>7</v>
      </c>
      <c r="I10" s="4" t="s">
        <v>8</v>
      </c>
      <c r="J10" s="21"/>
      <c r="K10" s="19"/>
      <c r="L10" s="16">
        <f t="shared" si="1"/>
        <v>0</v>
      </c>
    </row>
    <row r="11" spans="1:12" x14ac:dyDescent="0.3">
      <c r="A11" s="7" t="s">
        <v>9</v>
      </c>
      <c r="B11" s="4" t="s">
        <v>10</v>
      </c>
      <c r="C11" s="24">
        <v>2500</v>
      </c>
      <c r="D11" s="19">
        <f>406.1+711.39+422.5+166.96+264.93</f>
        <v>1971.88</v>
      </c>
      <c r="E11" s="16">
        <f t="shared" si="0"/>
        <v>528.11999999999989</v>
      </c>
      <c r="F11" s="2"/>
      <c r="G11" s="2"/>
      <c r="H11" s="7" t="s">
        <v>9</v>
      </c>
      <c r="I11" s="4" t="s">
        <v>10</v>
      </c>
      <c r="J11" s="24"/>
      <c r="K11" s="19"/>
      <c r="L11" s="16">
        <f t="shared" si="1"/>
        <v>0</v>
      </c>
    </row>
    <row r="12" spans="1:12" x14ac:dyDescent="0.3">
      <c r="A12" s="7"/>
      <c r="B12" s="4"/>
      <c r="C12" s="24"/>
      <c r="D12" s="19"/>
      <c r="E12" s="16"/>
      <c r="H12" s="7"/>
      <c r="I12" s="4"/>
      <c r="J12" s="24"/>
      <c r="K12" s="19"/>
      <c r="L12" s="16"/>
    </row>
    <row r="13" spans="1:12" ht="21" x14ac:dyDescent="0.35">
      <c r="A13" s="7" t="s">
        <v>11</v>
      </c>
      <c r="B13" s="3" t="s">
        <v>12</v>
      </c>
      <c r="C13" s="23">
        <f>SUM(C14:C17)</f>
        <v>127500</v>
      </c>
      <c r="D13" s="23">
        <f>SUM(D14:D17)</f>
        <v>50528.399999999994</v>
      </c>
      <c r="E13" s="15">
        <f>C13-D13</f>
        <v>76971.600000000006</v>
      </c>
      <c r="G13" s="5"/>
      <c r="H13" s="7" t="s">
        <v>11</v>
      </c>
      <c r="I13" s="3" t="s">
        <v>12</v>
      </c>
      <c r="J13" s="23"/>
      <c r="K13" s="23"/>
      <c r="L13" s="15">
        <f>J13-K13</f>
        <v>0</v>
      </c>
    </row>
    <row r="14" spans="1:12" ht="21" x14ac:dyDescent="0.35">
      <c r="A14" s="7" t="s">
        <v>13</v>
      </c>
      <c r="B14" s="4" t="s">
        <v>14</v>
      </c>
      <c r="C14" s="24">
        <v>68000</v>
      </c>
      <c r="D14" s="19">
        <f>5169.86+4998.13+4840.13+6224.9+4991.89</f>
        <v>26224.909999999996</v>
      </c>
      <c r="E14" s="16">
        <f>C14-D14</f>
        <v>41775.090000000004</v>
      </c>
      <c r="G14" s="5"/>
      <c r="H14" s="7" t="s">
        <v>13</v>
      </c>
      <c r="I14" s="4" t="s">
        <v>14</v>
      </c>
      <c r="J14" s="24"/>
      <c r="K14" s="19"/>
      <c r="L14" s="16">
        <f>J14-K14</f>
        <v>0</v>
      </c>
    </row>
    <row r="15" spans="1:12" ht="21" x14ac:dyDescent="0.35">
      <c r="A15" s="7" t="s">
        <v>15</v>
      </c>
      <c r="B15" s="4" t="s">
        <v>16</v>
      </c>
      <c r="C15" s="24">
        <v>20000</v>
      </c>
      <c r="D15" s="19">
        <f>1683.83+1636.44+1586.23+2022.36+1647.03</f>
        <v>8575.89</v>
      </c>
      <c r="E15" s="16">
        <f>C15-D15</f>
        <v>11424.11</v>
      </c>
      <c r="G15" s="6"/>
      <c r="H15" s="7" t="s">
        <v>15</v>
      </c>
      <c r="I15" s="4" t="s">
        <v>16</v>
      </c>
      <c r="J15" s="24"/>
      <c r="K15" s="19"/>
      <c r="L15" s="16">
        <f>J15-K15</f>
        <v>0</v>
      </c>
    </row>
    <row r="16" spans="1:12" x14ac:dyDescent="0.3">
      <c r="A16" s="7" t="s">
        <v>17</v>
      </c>
      <c r="B16" s="4" t="s">
        <v>18</v>
      </c>
      <c r="C16" s="24">
        <v>27000</v>
      </c>
      <c r="D16" s="19">
        <f>2114.69+2081.33+2055.75+2532.53+2024.85</f>
        <v>10809.150000000001</v>
      </c>
      <c r="E16" s="16">
        <f t="shared" ref="E16:E17" si="2">C16-D16</f>
        <v>16190.849999999999</v>
      </c>
      <c r="H16" s="7" t="s">
        <v>17</v>
      </c>
      <c r="I16" s="4" t="s">
        <v>18</v>
      </c>
      <c r="J16" s="24"/>
      <c r="K16" s="19"/>
      <c r="L16" s="16">
        <f t="shared" ref="L16:L17" si="3">J16-K16</f>
        <v>0</v>
      </c>
    </row>
    <row r="17" spans="1:12" x14ac:dyDescent="0.3">
      <c r="A17" s="7" t="s">
        <v>19</v>
      </c>
      <c r="B17" s="4" t="s">
        <v>20</v>
      </c>
      <c r="C17" s="24">
        <v>12500</v>
      </c>
      <c r="D17" s="19">
        <f>974.32+940.44+931.6+1163.16+908.93</f>
        <v>4918.4500000000007</v>
      </c>
      <c r="E17" s="16">
        <f t="shared" si="2"/>
        <v>7581.5499999999993</v>
      </c>
      <c r="H17" s="7" t="s">
        <v>19</v>
      </c>
      <c r="I17" s="4" t="s">
        <v>20</v>
      </c>
      <c r="J17" s="24"/>
      <c r="K17" s="19"/>
      <c r="L17" s="16">
        <f t="shared" si="3"/>
        <v>0</v>
      </c>
    </row>
    <row r="18" spans="1:12" x14ac:dyDescent="0.3">
      <c r="A18" s="47"/>
      <c r="B18" s="4"/>
      <c r="C18" s="24"/>
      <c r="D18" s="19"/>
      <c r="E18" s="16"/>
      <c r="H18" s="47"/>
      <c r="I18" s="4"/>
      <c r="J18" s="24"/>
      <c r="K18" s="19"/>
      <c r="L18" s="16"/>
    </row>
    <row r="19" spans="1:12" x14ac:dyDescent="0.3">
      <c r="A19" s="48" t="s">
        <v>40</v>
      </c>
      <c r="B19" s="4" t="s">
        <v>29</v>
      </c>
      <c r="C19" s="24">
        <f>SUM(C20:C29)</f>
        <v>133149.71</v>
      </c>
      <c r="D19" s="17">
        <f>SUM(D20:D29)</f>
        <v>44454.06</v>
      </c>
      <c r="E19" s="15">
        <f t="shared" si="0"/>
        <v>88695.65</v>
      </c>
      <c r="F19" s="52"/>
      <c r="H19" s="48" t="s">
        <v>40</v>
      </c>
      <c r="I19" s="4" t="s">
        <v>29</v>
      </c>
      <c r="J19" s="24"/>
      <c r="K19" s="17"/>
      <c r="L19" s="15">
        <f t="shared" ref="L19:L20" si="4">J19-K19</f>
        <v>0</v>
      </c>
    </row>
    <row r="20" spans="1:12" x14ac:dyDescent="0.3">
      <c r="A20" s="43" t="s">
        <v>21</v>
      </c>
      <c r="B20" s="44" t="s">
        <v>22</v>
      </c>
      <c r="C20" s="45">
        <v>40000</v>
      </c>
      <c r="D20" s="49">
        <f>4034+3509+3792+3943.5+3321+1978.5</f>
        <v>20578</v>
      </c>
      <c r="E20" s="16">
        <f t="shared" si="0"/>
        <v>19422</v>
      </c>
      <c r="H20" s="43" t="s">
        <v>21</v>
      </c>
      <c r="I20" s="44" t="s">
        <v>22</v>
      </c>
      <c r="J20" s="45"/>
      <c r="K20" s="49"/>
      <c r="L20" s="16">
        <f t="shared" si="4"/>
        <v>0</v>
      </c>
    </row>
    <row r="21" spans="1:12" x14ac:dyDescent="0.3">
      <c r="A21" s="43" t="s">
        <v>41</v>
      </c>
      <c r="B21" s="44" t="s">
        <v>30</v>
      </c>
      <c r="C21" s="45"/>
      <c r="D21" s="46"/>
      <c r="E21" s="15"/>
      <c r="H21" s="43" t="s">
        <v>41</v>
      </c>
      <c r="I21" s="44" t="s">
        <v>30</v>
      </c>
      <c r="J21" s="45"/>
      <c r="K21" s="46"/>
      <c r="L21" s="15"/>
    </row>
    <row r="22" spans="1:12" x14ac:dyDescent="0.3">
      <c r="A22" s="43" t="s">
        <v>42</v>
      </c>
      <c r="B22" s="44" t="s">
        <v>31</v>
      </c>
      <c r="C22" s="45">
        <v>1000</v>
      </c>
      <c r="D22" s="49"/>
      <c r="E22" s="16">
        <f t="shared" si="0"/>
        <v>1000</v>
      </c>
      <c r="H22" s="43" t="s">
        <v>42</v>
      </c>
      <c r="I22" s="44" t="s">
        <v>31</v>
      </c>
      <c r="J22" s="45"/>
      <c r="K22" s="49"/>
      <c r="L22" s="16">
        <f t="shared" ref="L22:L23" si="5">J22-K22</f>
        <v>0</v>
      </c>
    </row>
    <row r="23" spans="1:12" x14ac:dyDescent="0.3">
      <c r="A23" s="7" t="s">
        <v>23</v>
      </c>
      <c r="B23" s="12" t="s">
        <v>24</v>
      </c>
      <c r="C23" s="21"/>
      <c r="D23" s="19"/>
      <c r="E23" s="16">
        <f t="shared" si="0"/>
        <v>0</v>
      </c>
      <c r="H23" s="7" t="s">
        <v>23</v>
      </c>
      <c r="I23" s="12" t="s">
        <v>24</v>
      </c>
      <c r="J23" s="21"/>
      <c r="K23" s="19"/>
      <c r="L23" s="16">
        <f t="shared" si="5"/>
        <v>0</v>
      </c>
    </row>
    <row r="24" spans="1:12" x14ac:dyDescent="0.3">
      <c r="A24" s="7" t="s">
        <v>32</v>
      </c>
      <c r="B24" s="12" t="s">
        <v>33</v>
      </c>
      <c r="C24" s="24">
        <f>15000+22458</f>
        <v>37458</v>
      </c>
      <c r="D24" s="19">
        <f>688+323.4+1373.4+858+239.38+1458.38-120-162</f>
        <v>4658.5600000000004</v>
      </c>
      <c r="E24" s="16">
        <f>C24-D24</f>
        <v>32799.440000000002</v>
      </c>
      <c r="H24" s="7" t="s">
        <v>32</v>
      </c>
      <c r="I24" s="12" t="s">
        <v>33</v>
      </c>
      <c r="J24" s="24"/>
      <c r="K24" s="19">
        <v>282</v>
      </c>
      <c r="L24" s="16">
        <f>J24-K24</f>
        <v>-282</v>
      </c>
    </row>
    <row r="25" spans="1:12" x14ac:dyDescent="0.3">
      <c r="A25" s="7" t="s">
        <v>34</v>
      </c>
      <c r="B25" s="4" t="s">
        <v>35</v>
      </c>
      <c r="C25" s="24">
        <v>20000</v>
      </c>
      <c r="D25" s="19">
        <f>234.8+293.18+298.57+191.75+243.66+182.85</f>
        <v>1444.81</v>
      </c>
      <c r="E25" s="16">
        <f>C25-D25</f>
        <v>18555.189999999999</v>
      </c>
      <c r="H25" s="7" t="s">
        <v>34</v>
      </c>
      <c r="I25" s="4" t="s">
        <v>35</v>
      </c>
      <c r="J25" s="24"/>
      <c r="K25" s="19"/>
      <c r="L25" s="16">
        <f>J25-K25</f>
        <v>0</v>
      </c>
    </row>
    <row r="26" spans="1:12" x14ac:dyDescent="0.3">
      <c r="A26" s="42" t="s">
        <v>44</v>
      </c>
      <c r="B26" s="12" t="s">
        <v>25</v>
      </c>
      <c r="C26" s="24">
        <f>20000+3191.71</f>
        <v>23191.71</v>
      </c>
      <c r="D26" s="19">
        <f>1793.47+1761.94+1970.64+4619.57+2074.24+5054.83</f>
        <v>17274.689999999999</v>
      </c>
      <c r="E26" s="15">
        <f t="shared" si="0"/>
        <v>5917.02</v>
      </c>
      <c r="H26" s="42" t="s">
        <v>44</v>
      </c>
      <c r="I26" s="12" t="s">
        <v>25</v>
      </c>
      <c r="J26" s="24"/>
      <c r="K26" s="19"/>
      <c r="L26" s="15">
        <f t="shared" ref="L26:L28" si="6">J26-K26</f>
        <v>0</v>
      </c>
    </row>
    <row r="27" spans="1:12" x14ac:dyDescent="0.3">
      <c r="A27" s="42" t="s">
        <v>36</v>
      </c>
      <c r="B27" s="12" t="s">
        <v>37</v>
      </c>
      <c r="C27" s="24">
        <v>10000</v>
      </c>
      <c r="D27" s="19"/>
      <c r="E27" s="16">
        <f t="shared" si="0"/>
        <v>10000</v>
      </c>
      <c r="H27" s="42" t="s">
        <v>36</v>
      </c>
      <c r="I27" s="12" t="s">
        <v>37</v>
      </c>
      <c r="J27" s="24"/>
      <c r="K27" s="19"/>
      <c r="L27" s="16">
        <f t="shared" si="6"/>
        <v>0</v>
      </c>
    </row>
    <row r="28" spans="1:12" x14ac:dyDescent="0.3">
      <c r="A28" s="42" t="s">
        <v>45</v>
      </c>
      <c r="B28" s="12" t="s">
        <v>38</v>
      </c>
      <c r="C28" s="24">
        <v>1500</v>
      </c>
      <c r="D28" s="19">
        <f>100+40+120+100+138</f>
        <v>498</v>
      </c>
      <c r="E28" s="16">
        <f t="shared" si="0"/>
        <v>1002</v>
      </c>
      <c r="H28" s="42" t="s">
        <v>45</v>
      </c>
      <c r="I28" s="12" t="s">
        <v>38</v>
      </c>
      <c r="J28" s="24"/>
      <c r="K28" s="19"/>
      <c r="L28" s="16">
        <f t="shared" si="6"/>
        <v>0</v>
      </c>
    </row>
    <row r="29" spans="1:12" x14ac:dyDescent="0.3">
      <c r="A29" s="42" t="s">
        <v>46</v>
      </c>
      <c r="B29" s="12" t="s">
        <v>49</v>
      </c>
      <c r="C29" s="24"/>
      <c r="D29" s="19"/>
      <c r="E29" s="16"/>
      <c r="H29" s="42" t="s">
        <v>46</v>
      </c>
      <c r="I29" s="12" t="s">
        <v>49</v>
      </c>
      <c r="J29" s="24"/>
      <c r="K29" s="19"/>
      <c r="L29" s="16"/>
    </row>
    <row r="30" spans="1:12" x14ac:dyDescent="0.3">
      <c r="A30" s="42" t="s">
        <v>47</v>
      </c>
      <c r="B30" s="12" t="s">
        <v>50</v>
      </c>
      <c r="C30" s="24">
        <v>300</v>
      </c>
      <c r="D30" s="19"/>
      <c r="E30" s="16">
        <f t="shared" si="0"/>
        <v>300</v>
      </c>
      <c r="H30" s="42" t="s">
        <v>47</v>
      </c>
      <c r="I30" s="12" t="s">
        <v>50</v>
      </c>
      <c r="J30" s="24"/>
      <c r="K30" s="19"/>
      <c r="L30" s="16">
        <f t="shared" ref="L30:L33" si="7">J30-K30</f>
        <v>0</v>
      </c>
    </row>
    <row r="31" spans="1:12" x14ac:dyDescent="0.3">
      <c r="A31" s="7" t="s">
        <v>48</v>
      </c>
      <c r="B31" s="12" t="s">
        <v>51</v>
      </c>
      <c r="C31" s="24"/>
      <c r="D31" s="19"/>
      <c r="E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7"/>
        <v>0</v>
      </c>
    </row>
    <row r="32" spans="1:12" x14ac:dyDescent="0.3">
      <c r="A32" s="13" t="s">
        <v>26</v>
      </c>
      <c r="B32" s="12" t="s">
        <v>27</v>
      </c>
      <c r="C32" s="25">
        <v>15044</v>
      </c>
      <c r="D32" s="19"/>
      <c r="E32" s="16">
        <f t="shared" si="0"/>
        <v>15044</v>
      </c>
      <c r="H32" s="13" t="s">
        <v>61</v>
      </c>
      <c r="I32" s="12" t="s">
        <v>62</v>
      </c>
      <c r="J32" s="25">
        <v>10301</v>
      </c>
      <c r="K32" s="19"/>
      <c r="L32" s="16">
        <f t="shared" si="7"/>
        <v>10301</v>
      </c>
    </row>
    <row r="33" spans="1:12" x14ac:dyDescent="0.3">
      <c r="C33" s="24"/>
      <c r="D33" s="19"/>
      <c r="E33" s="16">
        <f t="shared" si="0"/>
        <v>0</v>
      </c>
      <c r="J33" s="24"/>
      <c r="K33" s="19"/>
      <c r="L33" s="16">
        <f t="shared" si="7"/>
        <v>0</v>
      </c>
    </row>
    <row r="34" spans="1:12" x14ac:dyDescent="0.3">
      <c r="B34" t="s">
        <v>28</v>
      </c>
      <c r="C34" s="26">
        <f>C6+C7+C13+C19+C30+C31</f>
        <v>828588.71</v>
      </c>
      <c r="D34" s="55">
        <f>D6+D7+D13+D19+D30+D31</f>
        <v>317566.92</v>
      </c>
      <c r="E34" s="26">
        <f>E6+E7+E13+E19+E30+E31</f>
        <v>511021.79000000004</v>
      </c>
      <c r="I34" t="s">
        <v>28</v>
      </c>
      <c r="J34" s="26">
        <f>J6+J7+J13+J19+J30+J31</f>
        <v>0</v>
      </c>
      <c r="K34" s="55">
        <f>K6+K7+K13+K19+K30+K31</f>
        <v>0</v>
      </c>
      <c r="L34" s="26">
        <f>L6+L7+L13+L19+L30+L31</f>
        <v>0</v>
      </c>
    </row>
    <row r="35" spans="1:12" x14ac:dyDescent="0.3">
      <c r="C35" s="50"/>
      <c r="D35" s="20"/>
      <c r="J35" s="50"/>
      <c r="K35" s="20"/>
    </row>
    <row r="36" spans="1:12" x14ac:dyDescent="0.3">
      <c r="A36" s="1" t="s">
        <v>53</v>
      </c>
      <c r="C36" s="50"/>
      <c r="D36" s="56" t="s">
        <v>54</v>
      </c>
      <c r="F36" s="2"/>
      <c r="H36" s="1" t="s">
        <v>53</v>
      </c>
      <c r="J36" s="50"/>
      <c r="K36" s="56" t="s">
        <v>54</v>
      </c>
    </row>
    <row r="37" spans="1:12" x14ac:dyDescent="0.3">
      <c r="C37" s="50"/>
      <c r="D37" s="20"/>
      <c r="F37" s="2"/>
      <c r="J37" s="50"/>
      <c r="K37" s="20"/>
    </row>
    <row r="38" spans="1:12" s="28" customFormat="1" x14ac:dyDescent="0.3">
      <c r="D38" s="29"/>
      <c r="F38" s="53"/>
      <c r="K38" s="29"/>
    </row>
    <row r="39" spans="1:12" s="28" customFormat="1" ht="21" x14ac:dyDescent="0.35">
      <c r="A39" s="83"/>
      <c r="B39" s="83"/>
      <c r="C39" s="30"/>
      <c r="D39" s="31"/>
      <c r="E39" s="32"/>
      <c r="F39" s="53"/>
      <c r="H39" s="83"/>
      <c r="I39" s="83"/>
      <c r="J39" s="30"/>
      <c r="K39" s="31"/>
      <c r="L39" s="32"/>
    </row>
    <row r="40" spans="1:12" s="28" customFormat="1" x14ac:dyDescent="0.3">
      <c r="B40" s="27"/>
      <c r="C40" s="33"/>
      <c r="D40" s="34"/>
      <c r="E40" s="35"/>
      <c r="F40" s="53"/>
      <c r="I40" s="27"/>
      <c r="J40" s="33"/>
      <c r="K40" s="34"/>
      <c r="L40" s="35"/>
    </row>
    <row r="41" spans="1:12" s="28" customFormat="1" x14ac:dyDescent="0.3">
      <c r="B41" s="27"/>
      <c r="C41" s="36"/>
      <c r="D41" s="37"/>
      <c r="E41" s="35"/>
      <c r="F41" s="53"/>
      <c r="I41" s="27"/>
      <c r="J41" s="36"/>
      <c r="K41" s="37"/>
      <c r="L41" s="35"/>
    </row>
    <row r="42" spans="1:12" s="28" customFormat="1" x14ac:dyDescent="0.3">
      <c r="B42" s="27"/>
      <c r="C42" s="36"/>
      <c r="D42" s="37"/>
      <c r="E42" s="35"/>
      <c r="F42" s="53"/>
      <c r="I42" s="27"/>
      <c r="J42" s="36"/>
      <c r="K42" s="37"/>
      <c r="L42" s="35"/>
    </row>
    <row r="43" spans="1:12" s="28" customFormat="1" x14ac:dyDescent="0.3">
      <c r="B43" s="27"/>
      <c r="C43" s="36"/>
      <c r="D43" s="37"/>
      <c r="E43" s="35"/>
      <c r="F43" s="53"/>
      <c r="I43" s="27"/>
      <c r="J43" s="36"/>
      <c r="K43" s="37"/>
      <c r="L43" s="35"/>
    </row>
    <row r="44" spans="1:12" s="28" customFormat="1" x14ac:dyDescent="0.3">
      <c r="B44" s="27"/>
      <c r="C44" s="36"/>
      <c r="D44" s="37"/>
      <c r="E44" s="35"/>
      <c r="F44" s="53"/>
      <c r="I44" s="27"/>
      <c r="J44" s="36"/>
      <c r="K44" s="37"/>
      <c r="L44" s="35"/>
    </row>
    <row r="45" spans="1:12" s="28" customFormat="1" x14ac:dyDescent="0.3">
      <c r="B45" s="27"/>
      <c r="C45" s="36"/>
      <c r="D45" s="37"/>
      <c r="E45" s="35"/>
      <c r="F45" s="53"/>
      <c r="I45" s="27"/>
      <c r="J45" s="36"/>
      <c r="K45" s="37"/>
      <c r="L45" s="35"/>
    </row>
    <row r="46" spans="1:12" s="28" customFormat="1" x14ac:dyDescent="0.3">
      <c r="B46" s="27"/>
      <c r="C46" s="36"/>
      <c r="D46" s="37"/>
      <c r="E46" s="35"/>
      <c r="F46" s="53"/>
      <c r="I46" s="27"/>
      <c r="J46" s="36"/>
      <c r="K46" s="37"/>
      <c r="L46" s="35"/>
    </row>
    <row r="47" spans="1:12" s="28" customFormat="1" x14ac:dyDescent="0.3">
      <c r="B47" s="27"/>
      <c r="C47" s="36"/>
      <c r="D47" s="37"/>
      <c r="E47" s="35"/>
      <c r="F47" s="53"/>
      <c r="I47" s="27"/>
      <c r="J47" s="36"/>
      <c r="K47" s="37"/>
      <c r="L47" s="35"/>
    </row>
    <row r="48" spans="1:12" s="28" customFormat="1" x14ac:dyDescent="0.3">
      <c r="B48" s="27"/>
      <c r="C48" s="36"/>
      <c r="D48" s="37"/>
      <c r="E48" s="35"/>
      <c r="F48" s="54"/>
      <c r="I48" s="27"/>
      <c r="J48" s="36"/>
      <c r="K48" s="37"/>
      <c r="L48" s="35"/>
    </row>
    <row r="49" spans="1:12" s="28" customFormat="1" x14ac:dyDescent="0.3">
      <c r="B49" s="27"/>
      <c r="C49" s="36"/>
      <c r="D49" s="37"/>
      <c r="E49" s="35"/>
      <c r="F49" s="53"/>
      <c r="I49" s="27"/>
      <c r="J49" s="36"/>
      <c r="K49" s="37"/>
      <c r="L49" s="35"/>
    </row>
    <row r="50" spans="1:12" s="28" customFormat="1" x14ac:dyDescent="0.3">
      <c r="B50" s="27"/>
      <c r="C50" s="36"/>
      <c r="D50" s="37"/>
      <c r="E50" s="35"/>
      <c r="F50" s="53"/>
      <c r="I50" s="27"/>
      <c r="J50" s="36"/>
      <c r="K50" s="37"/>
      <c r="L50" s="35"/>
    </row>
    <row r="51" spans="1:12" s="28" customFormat="1" x14ac:dyDescent="0.3">
      <c r="B51" s="27"/>
      <c r="C51" s="36"/>
      <c r="D51" s="37"/>
      <c r="E51" s="35"/>
      <c r="F51" s="53"/>
      <c r="I51" s="27"/>
      <c r="J51" s="36"/>
      <c r="K51" s="37"/>
      <c r="L51" s="35"/>
    </row>
    <row r="52" spans="1:12" s="28" customFormat="1" x14ac:dyDescent="0.3">
      <c r="B52" s="27"/>
      <c r="C52" s="36"/>
      <c r="D52" s="37"/>
      <c r="E52" s="35"/>
      <c r="F52" s="53"/>
      <c r="I52" s="27"/>
      <c r="J52" s="36"/>
      <c r="K52" s="37"/>
      <c r="L52" s="35"/>
    </row>
    <row r="53" spans="1:12" s="28" customFormat="1" x14ac:dyDescent="0.3">
      <c r="C53" s="33"/>
      <c r="D53" s="34"/>
      <c r="E53" s="35"/>
      <c r="F53" s="53"/>
      <c r="J53" s="33"/>
      <c r="K53" s="34"/>
      <c r="L53" s="35"/>
    </row>
    <row r="54" spans="1:12" s="28" customFormat="1" x14ac:dyDescent="0.3">
      <c r="C54" s="35"/>
      <c r="D54" s="34"/>
      <c r="E54" s="35"/>
      <c r="F54" s="53"/>
      <c r="J54" s="35"/>
      <c r="K54" s="34"/>
      <c r="L54" s="35"/>
    </row>
    <row r="55" spans="1:12" s="28" customFormat="1" x14ac:dyDescent="0.3">
      <c r="C55" s="35"/>
      <c r="D55" s="34"/>
      <c r="E55" s="35"/>
      <c r="F55" s="53"/>
      <c r="J55" s="35"/>
      <c r="K55" s="34"/>
      <c r="L55" s="35"/>
    </row>
    <row r="56" spans="1:12" s="28" customFormat="1" x14ac:dyDescent="0.3">
      <c r="A56" s="39"/>
      <c r="C56" s="40"/>
      <c r="D56" s="27"/>
      <c r="F56" s="53"/>
      <c r="H56" s="39"/>
      <c r="J56" s="40"/>
      <c r="K56" s="27"/>
    </row>
    <row r="57" spans="1:12" s="28" customFormat="1" x14ac:dyDescent="0.3">
      <c r="C57" s="41"/>
      <c r="D57" s="41"/>
      <c r="F57" s="53"/>
      <c r="J57" s="41"/>
      <c r="K57" s="41"/>
    </row>
    <row r="58" spans="1:12" s="28" customFormat="1" x14ac:dyDescent="0.3">
      <c r="A58" s="38"/>
      <c r="B58" s="27"/>
      <c r="C58" s="27"/>
      <c r="D58" s="27"/>
      <c r="F58" s="53"/>
      <c r="H58" s="38"/>
      <c r="I58" s="27"/>
      <c r="J58" s="27"/>
      <c r="K58" s="27"/>
    </row>
    <row r="59" spans="1:12" s="28" customFormat="1" x14ac:dyDescent="0.3">
      <c r="B59" s="27"/>
      <c r="C59" s="27"/>
      <c r="D59" s="27"/>
      <c r="F59" s="53"/>
      <c r="I59" s="27"/>
      <c r="J59" s="27"/>
      <c r="K59" s="27"/>
    </row>
    <row r="60" spans="1:12" s="28" customFormat="1" x14ac:dyDescent="0.3">
      <c r="B60" s="27"/>
      <c r="C60" s="27"/>
      <c r="D60" s="27"/>
      <c r="F60" s="53"/>
      <c r="I60" s="27"/>
      <c r="J60" s="27"/>
      <c r="K60" s="27"/>
    </row>
    <row r="61" spans="1:12" s="28" customFormat="1" x14ac:dyDescent="0.3">
      <c r="A61" s="38"/>
      <c r="B61" s="27"/>
      <c r="C61" s="27"/>
      <c r="D61" s="27"/>
      <c r="F61" s="53"/>
      <c r="H61" s="38"/>
      <c r="I61" s="27"/>
      <c r="J61" s="27"/>
      <c r="K61" s="27"/>
    </row>
    <row r="62" spans="1:12" s="28" customFormat="1" x14ac:dyDescent="0.3">
      <c r="A62" s="38"/>
      <c r="B62" s="27"/>
      <c r="C62" s="27"/>
      <c r="D62" s="27"/>
      <c r="F62" s="53"/>
      <c r="H62" s="38"/>
      <c r="I62" s="27"/>
      <c r="J62" s="27"/>
      <c r="K62" s="27"/>
    </row>
    <row r="63" spans="1:12" s="28" customFormat="1" x14ac:dyDescent="0.3">
      <c r="A63" s="38"/>
      <c r="B63" s="27"/>
      <c r="C63" s="27"/>
      <c r="D63" s="27"/>
      <c r="F63" s="53"/>
      <c r="H63" s="38"/>
      <c r="I63" s="27"/>
      <c r="J63" s="27"/>
      <c r="K63" s="27"/>
    </row>
    <row r="64" spans="1:12" s="28" customFormat="1" x14ac:dyDescent="0.3">
      <c r="A64" s="38"/>
      <c r="B64" s="27"/>
      <c r="C64" s="27"/>
      <c r="D64" s="27"/>
      <c r="F64" s="53"/>
      <c r="H64" s="38"/>
      <c r="I64" s="27"/>
      <c r="J64" s="27"/>
      <c r="K64" s="27"/>
    </row>
    <row r="65" spans="6:6" s="28" customFormat="1" x14ac:dyDescent="0.3">
      <c r="F65" s="53"/>
    </row>
  </sheetData>
  <mergeCells count="6">
    <mergeCell ref="A5:B5"/>
    <mergeCell ref="A6:A7"/>
    <mergeCell ref="A39:B39"/>
    <mergeCell ref="H5:I5"/>
    <mergeCell ref="H6:H7"/>
    <mergeCell ref="H39:I3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opLeftCell="A6" zoomScaleNormal="100" workbookViewId="0">
      <selection activeCell="C26" sqref="C26"/>
    </sheetView>
  </sheetViews>
  <sheetFormatPr defaultRowHeight="18.75" x14ac:dyDescent="0.3"/>
  <cols>
    <col min="1" max="1" width="28.85546875" customWidth="1"/>
    <col min="2" max="2" width="11.42578125" customWidth="1"/>
    <col min="3" max="3" width="14.28515625" customWidth="1"/>
    <col min="4" max="4" width="15" customWidth="1"/>
    <col min="5" max="5" width="14.5703125" customWidth="1"/>
    <col min="6" max="6" width="11.42578125" style="1" customWidth="1"/>
    <col min="7" max="7" width="10.5703125" bestFit="1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</cols>
  <sheetData>
    <row r="1" spans="1:12" x14ac:dyDescent="0.3">
      <c r="B1" s="1" t="s">
        <v>56</v>
      </c>
      <c r="D1" s="1"/>
      <c r="I1" s="1" t="s">
        <v>60</v>
      </c>
      <c r="K1" s="1"/>
    </row>
    <row r="2" spans="1:12" x14ac:dyDescent="0.3">
      <c r="B2" s="1" t="s">
        <v>52</v>
      </c>
      <c r="D2" s="1"/>
      <c r="I2" s="1" t="s">
        <v>52</v>
      </c>
      <c r="K2" s="1"/>
    </row>
    <row r="3" spans="1:12" x14ac:dyDescent="0.3">
      <c r="B3" s="1"/>
      <c r="C3" s="1"/>
      <c r="D3" s="1"/>
      <c r="I3" s="1"/>
      <c r="J3" s="1"/>
      <c r="K3" s="1"/>
    </row>
    <row r="4" spans="1:12" ht="19.5" thickBot="1" x14ac:dyDescent="0.35">
      <c r="E4" s="1"/>
      <c r="G4" s="1"/>
      <c r="L4" s="1"/>
    </row>
    <row r="5" spans="1:12" ht="42.75" thickBot="1" x14ac:dyDescent="0.4">
      <c r="A5" s="79" t="s">
        <v>43</v>
      </c>
      <c r="B5" s="80"/>
      <c r="C5" s="8" t="s">
        <v>55</v>
      </c>
      <c r="D5" s="9" t="s">
        <v>63</v>
      </c>
      <c r="E5" s="10" t="s">
        <v>39</v>
      </c>
      <c r="F5" s="2"/>
      <c r="G5" s="2"/>
      <c r="H5" s="79" t="s">
        <v>43</v>
      </c>
      <c r="I5" s="80"/>
      <c r="J5" s="8" t="s">
        <v>55</v>
      </c>
      <c r="K5" s="9" t="s">
        <v>63</v>
      </c>
      <c r="L5" s="10" t="s">
        <v>39</v>
      </c>
    </row>
    <row r="6" spans="1:12" x14ac:dyDescent="0.3">
      <c r="A6" s="81" t="s">
        <v>0</v>
      </c>
      <c r="B6" s="11" t="s">
        <v>1</v>
      </c>
      <c r="C6" s="22">
        <f>549784-30145-1500+27000</f>
        <v>545139</v>
      </c>
      <c r="D6" s="18">
        <f>42312.4+40527.12+39636.72+52141.67+42181.53-74.64+36811.18</f>
        <v>253535.97999999998</v>
      </c>
      <c r="E6" s="14">
        <f>C6-D6</f>
        <v>291603.02</v>
      </c>
      <c r="F6" s="2"/>
      <c r="H6" s="81" t="s">
        <v>0</v>
      </c>
      <c r="I6" s="11" t="s">
        <v>1</v>
      </c>
      <c r="J6" s="22"/>
      <c r="K6" s="18"/>
      <c r="L6" s="14">
        <f>J6-K6</f>
        <v>0</v>
      </c>
    </row>
    <row r="7" spans="1:12" x14ac:dyDescent="0.3">
      <c r="A7" s="82"/>
      <c r="B7" s="3" t="s">
        <v>2</v>
      </c>
      <c r="C7" s="23">
        <f>SUM(C8:C11)</f>
        <v>22500</v>
      </c>
      <c r="D7" s="17">
        <f>SUM(D8:D11)</f>
        <v>6859.99</v>
      </c>
      <c r="E7" s="15">
        <f t="shared" ref="E7:E33" si="0">C7-D7</f>
        <v>15640.01</v>
      </c>
      <c r="F7" s="2"/>
      <c r="G7" s="2"/>
      <c r="H7" s="82"/>
      <c r="I7" s="3" t="s">
        <v>2</v>
      </c>
      <c r="J7" s="23"/>
      <c r="K7" s="17">
        <f>SUM(K8:K11)</f>
        <v>0</v>
      </c>
      <c r="L7" s="15">
        <f t="shared" ref="L7:L11" si="1">J7-K7</f>
        <v>0</v>
      </c>
    </row>
    <row r="8" spans="1:12" x14ac:dyDescent="0.3">
      <c r="A8" s="7" t="s">
        <v>3</v>
      </c>
      <c r="B8" s="4" t="s">
        <v>4</v>
      </c>
      <c r="C8" s="24">
        <v>2000</v>
      </c>
      <c r="D8" s="19"/>
      <c r="E8" s="16">
        <f t="shared" si="0"/>
        <v>2000</v>
      </c>
      <c r="H8" s="7" t="s">
        <v>3</v>
      </c>
      <c r="I8" s="4" t="s">
        <v>4</v>
      </c>
      <c r="J8" s="24"/>
      <c r="K8" s="19"/>
      <c r="L8" s="16">
        <f t="shared" si="1"/>
        <v>0</v>
      </c>
    </row>
    <row r="9" spans="1:12" x14ac:dyDescent="0.3">
      <c r="A9" s="7" t="s">
        <v>5</v>
      </c>
      <c r="B9" s="4" t="s">
        <v>6</v>
      </c>
      <c r="C9" s="24">
        <v>18000</v>
      </c>
      <c r="D9" s="19">
        <f>787.16+787.16+787.16+763.15+763.15+763.15</f>
        <v>4650.93</v>
      </c>
      <c r="E9" s="16">
        <f t="shared" si="0"/>
        <v>13349.07</v>
      </c>
      <c r="F9" s="2"/>
      <c r="G9" s="2"/>
      <c r="H9" s="7" t="s">
        <v>5</v>
      </c>
      <c r="I9" s="4" t="s">
        <v>6</v>
      </c>
      <c r="J9" s="24"/>
      <c r="K9" s="19"/>
      <c r="L9" s="16">
        <f t="shared" si="1"/>
        <v>0</v>
      </c>
    </row>
    <row r="10" spans="1:12" x14ac:dyDescent="0.3">
      <c r="A10" s="7" t="s">
        <v>7</v>
      </c>
      <c r="B10" s="4" t="s">
        <v>8</v>
      </c>
      <c r="C10" s="21"/>
      <c r="D10" s="19"/>
      <c r="E10" s="16">
        <f t="shared" si="0"/>
        <v>0</v>
      </c>
      <c r="F10" s="2"/>
      <c r="G10" s="2"/>
      <c r="H10" s="7" t="s">
        <v>7</v>
      </c>
      <c r="I10" s="4" t="s">
        <v>8</v>
      </c>
      <c r="J10" s="21"/>
      <c r="K10" s="19"/>
      <c r="L10" s="16">
        <f t="shared" si="1"/>
        <v>0</v>
      </c>
    </row>
    <row r="11" spans="1:12" x14ac:dyDescent="0.3">
      <c r="A11" s="7" t="s">
        <v>9</v>
      </c>
      <c r="B11" s="4" t="s">
        <v>10</v>
      </c>
      <c r="C11" s="24">
        <v>2500</v>
      </c>
      <c r="D11" s="19">
        <f>406.1+711.39+422.5+166.96+264.93+237.18</f>
        <v>2209.06</v>
      </c>
      <c r="E11" s="16">
        <f t="shared" si="0"/>
        <v>290.94000000000005</v>
      </c>
      <c r="F11" s="2"/>
      <c r="G11" s="2"/>
      <c r="H11" s="7" t="s">
        <v>9</v>
      </c>
      <c r="I11" s="4" t="s">
        <v>10</v>
      </c>
      <c r="J11" s="24"/>
      <c r="K11" s="19"/>
      <c r="L11" s="16">
        <f t="shared" si="1"/>
        <v>0</v>
      </c>
    </row>
    <row r="12" spans="1:12" x14ac:dyDescent="0.3">
      <c r="A12" s="7"/>
      <c r="B12" s="4"/>
      <c r="C12" s="24"/>
      <c r="D12" s="19"/>
      <c r="E12" s="16"/>
      <c r="H12" s="7"/>
      <c r="I12" s="4"/>
      <c r="J12" s="24"/>
      <c r="K12" s="19"/>
      <c r="L12" s="16"/>
    </row>
    <row r="13" spans="1:12" ht="21" x14ac:dyDescent="0.35">
      <c r="A13" s="7" t="s">
        <v>11</v>
      </c>
      <c r="B13" s="3" t="s">
        <v>12</v>
      </c>
      <c r="C13" s="23">
        <f>SUM(C14:C17)</f>
        <v>127500</v>
      </c>
      <c r="D13" s="23">
        <f>SUM(D14:D17)</f>
        <v>59308.46</v>
      </c>
      <c r="E13" s="15">
        <f>C13-D13</f>
        <v>68191.540000000008</v>
      </c>
      <c r="G13" s="5"/>
      <c r="H13" s="7" t="s">
        <v>11</v>
      </c>
      <c r="I13" s="3" t="s">
        <v>12</v>
      </c>
      <c r="J13" s="23"/>
      <c r="K13" s="23">
        <f>SUM(K14:K17)</f>
        <v>0</v>
      </c>
      <c r="L13" s="15">
        <f>J13-K13</f>
        <v>0</v>
      </c>
    </row>
    <row r="14" spans="1:12" ht="21" x14ac:dyDescent="0.35">
      <c r="A14" s="7" t="s">
        <v>13</v>
      </c>
      <c r="B14" s="4" t="s">
        <v>14</v>
      </c>
      <c r="C14" s="24">
        <v>68000</v>
      </c>
      <c r="D14" s="19">
        <f>5169.86+4998.13+4840.13+6224.9+4991.89+4469.06</f>
        <v>30693.969999999998</v>
      </c>
      <c r="E14" s="16">
        <f>C14-D14</f>
        <v>37306.03</v>
      </c>
      <c r="G14" s="5"/>
      <c r="H14" s="7" t="s">
        <v>13</v>
      </c>
      <c r="I14" s="4" t="s">
        <v>14</v>
      </c>
      <c r="J14" s="24"/>
      <c r="K14" s="19"/>
      <c r="L14" s="16">
        <f>J14-K14</f>
        <v>0</v>
      </c>
    </row>
    <row r="15" spans="1:12" ht="21" x14ac:dyDescent="0.35">
      <c r="A15" s="7" t="s">
        <v>15</v>
      </c>
      <c r="B15" s="4" t="s">
        <v>16</v>
      </c>
      <c r="C15" s="24">
        <v>20000</v>
      </c>
      <c r="D15" s="19">
        <f>1683.83+1636.44+1586.23+2022.36+1647.03+1503.6</f>
        <v>10079.49</v>
      </c>
      <c r="E15" s="16">
        <f>C15-D15</f>
        <v>9920.51</v>
      </c>
      <c r="G15" s="6"/>
      <c r="H15" s="7" t="s">
        <v>15</v>
      </c>
      <c r="I15" s="4" t="s">
        <v>16</v>
      </c>
      <c r="J15" s="24"/>
      <c r="K15" s="19"/>
      <c r="L15" s="16">
        <f>J15-K15</f>
        <v>0</v>
      </c>
    </row>
    <row r="16" spans="1:12" x14ac:dyDescent="0.3">
      <c r="A16" s="7" t="s">
        <v>17</v>
      </c>
      <c r="B16" s="4" t="s">
        <v>18</v>
      </c>
      <c r="C16" s="24">
        <v>27000</v>
      </c>
      <c r="D16" s="19">
        <f>2114.69+2081.33+2055.75+2532.53+2024.85+1923.37</f>
        <v>12732.52</v>
      </c>
      <c r="E16" s="16">
        <f t="shared" ref="E16:E17" si="2">C16-D16</f>
        <v>14267.48</v>
      </c>
      <c r="H16" s="7" t="s">
        <v>17</v>
      </c>
      <c r="I16" s="4" t="s">
        <v>18</v>
      </c>
      <c r="J16" s="24"/>
      <c r="K16" s="19"/>
      <c r="L16" s="16">
        <f t="shared" ref="L16:L17" si="3">J16-K16</f>
        <v>0</v>
      </c>
    </row>
    <row r="17" spans="1:12" x14ac:dyDescent="0.3">
      <c r="A17" s="7" t="s">
        <v>19</v>
      </c>
      <c r="B17" s="4" t="s">
        <v>20</v>
      </c>
      <c r="C17" s="24">
        <v>12500</v>
      </c>
      <c r="D17" s="19">
        <f>974.32+940.44+931.6+1163.16+908.93+884.03</f>
        <v>5802.4800000000005</v>
      </c>
      <c r="E17" s="16">
        <f t="shared" si="2"/>
        <v>6697.5199999999995</v>
      </c>
      <c r="H17" s="7" t="s">
        <v>19</v>
      </c>
      <c r="I17" s="4" t="s">
        <v>20</v>
      </c>
      <c r="J17" s="24"/>
      <c r="K17" s="19"/>
      <c r="L17" s="16">
        <f t="shared" si="3"/>
        <v>0</v>
      </c>
    </row>
    <row r="18" spans="1:12" x14ac:dyDescent="0.3">
      <c r="A18" s="47"/>
      <c r="B18" s="4"/>
      <c r="C18" s="24"/>
      <c r="D18" s="19"/>
      <c r="E18" s="16"/>
      <c r="H18" s="47"/>
      <c r="I18" s="4"/>
      <c r="J18" s="24"/>
      <c r="K18" s="19"/>
      <c r="L18" s="16"/>
    </row>
    <row r="19" spans="1:12" x14ac:dyDescent="0.3">
      <c r="A19" s="48" t="s">
        <v>40</v>
      </c>
      <c r="B19" s="4" t="s">
        <v>29</v>
      </c>
      <c r="C19" s="24">
        <f>SUM(C20:C29)</f>
        <v>144149.71</v>
      </c>
      <c r="D19" s="17">
        <f>SUM(D20:D29)</f>
        <v>60685.159999999996</v>
      </c>
      <c r="E19" s="15">
        <f t="shared" si="0"/>
        <v>83464.549999999988</v>
      </c>
      <c r="F19" s="52"/>
      <c r="H19" s="48" t="s">
        <v>40</v>
      </c>
      <c r="I19" s="4" t="s">
        <v>29</v>
      </c>
      <c r="J19" s="24"/>
      <c r="K19" s="17">
        <f>SUM(K20:K29)</f>
        <v>282</v>
      </c>
      <c r="L19" s="15">
        <f t="shared" ref="L19:L20" si="4">J19-K19</f>
        <v>-282</v>
      </c>
    </row>
    <row r="20" spans="1:12" x14ac:dyDescent="0.3">
      <c r="A20" s="43" t="s">
        <v>21</v>
      </c>
      <c r="B20" s="44" t="s">
        <v>22</v>
      </c>
      <c r="C20" s="45">
        <v>40000</v>
      </c>
      <c r="D20" s="49">
        <f>4034+3509+3792+3943.5+3321+1978.5+464</f>
        <v>21042</v>
      </c>
      <c r="E20" s="16">
        <f t="shared" si="0"/>
        <v>18958</v>
      </c>
      <c r="H20" s="43" t="s">
        <v>21</v>
      </c>
      <c r="I20" s="44" t="s">
        <v>22</v>
      </c>
      <c r="J20" s="45"/>
      <c r="K20" s="49"/>
      <c r="L20" s="16">
        <f t="shared" si="4"/>
        <v>0</v>
      </c>
    </row>
    <row r="21" spans="1:12" x14ac:dyDescent="0.3">
      <c r="A21" s="43" t="s">
        <v>41</v>
      </c>
      <c r="B21" s="44" t="s">
        <v>30</v>
      </c>
      <c r="C21" s="45"/>
      <c r="D21" s="46"/>
      <c r="E21" s="15"/>
      <c r="H21" s="43" t="s">
        <v>41</v>
      </c>
      <c r="I21" s="44" t="s">
        <v>30</v>
      </c>
      <c r="J21" s="45"/>
      <c r="K21" s="46"/>
      <c r="L21" s="15"/>
    </row>
    <row r="22" spans="1:12" x14ac:dyDescent="0.3">
      <c r="A22" s="43" t="s">
        <v>42</v>
      </c>
      <c r="B22" s="44" t="s">
        <v>31</v>
      </c>
      <c r="C22" s="45">
        <v>1000</v>
      </c>
      <c r="D22" s="49"/>
      <c r="E22" s="16">
        <f t="shared" si="0"/>
        <v>1000</v>
      </c>
      <c r="H22" s="43" t="s">
        <v>42</v>
      </c>
      <c r="I22" s="44" t="s">
        <v>31</v>
      </c>
      <c r="J22" s="45"/>
      <c r="K22" s="49"/>
      <c r="L22" s="16">
        <f t="shared" ref="L22:L23" si="5">J22-K22</f>
        <v>0</v>
      </c>
    </row>
    <row r="23" spans="1:12" x14ac:dyDescent="0.3">
      <c r="A23" s="7" t="s">
        <v>23</v>
      </c>
      <c r="B23" s="12" t="s">
        <v>24</v>
      </c>
      <c r="C23" s="21"/>
      <c r="D23" s="19"/>
      <c r="E23" s="16">
        <f t="shared" si="0"/>
        <v>0</v>
      </c>
      <c r="H23" s="7" t="s">
        <v>23</v>
      </c>
      <c r="I23" s="12" t="s">
        <v>24</v>
      </c>
      <c r="J23" s="21"/>
      <c r="K23" s="19"/>
      <c r="L23" s="16">
        <f t="shared" si="5"/>
        <v>0</v>
      </c>
    </row>
    <row r="24" spans="1:12" x14ac:dyDescent="0.3">
      <c r="A24" s="7" t="s">
        <v>32</v>
      </c>
      <c r="B24" s="12" t="s">
        <v>33</v>
      </c>
      <c r="C24" s="24">
        <f>15000+22458</f>
        <v>37458</v>
      </c>
      <c r="D24" s="19">
        <f>688+323.4+1373.4+858+239.38+1458.38-120-162+794</f>
        <v>5452.56</v>
      </c>
      <c r="E24" s="16">
        <f>C24-D24</f>
        <v>32005.439999999999</v>
      </c>
      <c r="H24" s="7" t="s">
        <v>32</v>
      </c>
      <c r="I24" s="12" t="s">
        <v>33</v>
      </c>
      <c r="J24" s="24"/>
      <c r="K24" s="19">
        <v>282</v>
      </c>
      <c r="L24" s="16">
        <f>J24-K24</f>
        <v>-282</v>
      </c>
    </row>
    <row r="25" spans="1:12" x14ac:dyDescent="0.3">
      <c r="A25" s="7" t="s">
        <v>34</v>
      </c>
      <c r="B25" s="4" t="s">
        <v>35</v>
      </c>
      <c r="C25" s="24">
        <v>20000</v>
      </c>
      <c r="D25" s="19">
        <f>234.8+293.18+298.57+191.75+243.66+182.85+163.52</f>
        <v>1608.33</v>
      </c>
      <c r="E25" s="16">
        <f>C25-D25</f>
        <v>18391.669999999998</v>
      </c>
      <c r="H25" s="7" t="s">
        <v>34</v>
      </c>
      <c r="I25" s="4" t="s">
        <v>35</v>
      </c>
      <c r="J25" s="24"/>
      <c r="K25" s="19"/>
      <c r="L25" s="16">
        <f>J25-K25</f>
        <v>0</v>
      </c>
    </row>
    <row r="26" spans="1:12" x14ac:dyDescent="0.3">
      <c r="A26" s="42" t="s">
        <v>44</v>
      </c>
      <c r="B26" s="12" t="s">
        <v>25</v>
      </c>
      <c r="C26" s="24">
        <f>20000+3191.71+11000</f>
        <v>34191.71</v>
      </c>
      <c r="D26" s="19">
        <f>1793.47+1761.94+1970.64+4619.57+2074.24+5054.83+14603.58</f>
        <v>31878.269999999997</v>
      </c>
      <c r="E26" s="15">
        <f t="shared" si="0"/>
        <v>2313.4400000000023</v>
      </c>
      <c r="H26" s="42" t="s">
        <v>44</v>
      </c>
      <c r="I26" s="12" t="s">
        <v>25</v>
      </c>
      <c r="J26" s="24"/>
      <c r="K26" s="19"/>
      <c r="L26" s="15">
        <f t="shared" ref="L26:L28" si="6">J26-K26</f>
        <v>0</v>
      </c>
    </row>
    <row r="27" spans="1:12" x14ac:dyDescent="0.3">
      <c r="A27" s="42" t="s">
        <v>36</v>
      </c>
      <c r="B27" s="12" t="s">
        <v>37</v>
      </c>
      <c r="C27" s="24">
        <v>10000</v>
      </c>
      <c r="D27" s="19"/>
      <c r="E27" s="16">
        <f t="shared" si="0"/>
        <v>10000</v>
      </c>
      <c r="H27" s="42" t="s">
        <v>36</v>
      </c>
      <c r="I27" s="12" t="s">
        <v>37</v>
      </c>
      <c r="J27" s="24"/>
      <c r="K27" s="19"/>
      <c r="L27" s="16">
        <f t="shared" si="6"/>
        <v>0</v>
      </c>
    </row>
    <row r="28" spans="1:12" x14ac:dyDescent="0.3">
      <c r="A28" s="42" t="s">
        <v>45</v>
      </c>
      <c r="B28" s="12" t="s">
        <v>38</v>
      </c>
      <c r="C28" s="24">
        <v>1500</v>
      </c>
      <c r="D28" s="19">
        <f>100+40+120+100+138+206</f>
        <v>704</v>
      </c>
      <c r="E28" s="16">
        <f t="shared" si="0"/>
        <v>796</v>
      </c>
      <c r="H28" s="42" t="s">
        <v>45</v>
      </c>
      <c r="I28" s="12" t="s">
        <v>38</v>
      </c>
      <c r="J28" s="24"/>
      <c r="K28" s="19"/>
      <c r="L28" s="16">
        <f t="shared" si="6"/>
        <v>0</v>
      </c>
    </row>
    <row r="29" spans="1:12" x14ac:dyDescent="0.3">
      <c r="A29" s="42" t="s">
        <v>46</v>
      </c>
      <c r="B29" s="12" t="s">
        <v>49</v>
      </c>
      <c r="C29" s="24"/>
      <c r="D29" s="19"/>
      <c r="E29" s="16"/>
      <c r="H29" s="42" t="s">
        <v>46</v>
      </c>
      <c r="I29" s="12" t="s">
        <v>49</v>
      </c>
      <c r="J29" s="24"/>
      <c r="K29" s="19"/>
      <c r="L29" s="16"/>
    </row>
    <row r="30" spans="1:12" x14ac:dyDescent="0.3">
      <c r="A30" s="42" t="s">
        <v>47</v>
      </c>
      <c r="B30" s="12" t="s">
        <v>50</v>
      </c>
      <c r="C30" s="24">
        <v>300</v>
      </c>
      <c r="D30" s="19"/>
      <c r="E30" s="16">
        <f t="shared" si="0"/>
        <v>300</v>
      </c>
      <c r="H30" s="42" t="s">
        <v>47</v>
      </c>
      <c r="I30" s="12" t="s">
        <v>50</v>
      </c>
      <c r="J30" s="24"/>
      <c r="K30" s="19"/>
      <c r="L30" s="16">
        <f t="shared" ref="L30:L33" si="7">J30-K30</f>
        <v>0</v>
      </c>
    </row>
    <row r="31" spans="1:12" x14ac:dyDescent="0.3">
      <c r="A31" s="7" t="s">
        <v>48</v>
      </c>
      <c r="B31" s="12" t="s">
        <v>51</v>
      </c>
      <c r="C31" s="24"/>
      <c r="D31" s="19"/>
      <c r="E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7"/>
        <v>0</v>
      </c>
    </row>
    <row r="32" spans="1:12" x14ac:dyDescent="0.3">
      <c r="A32" s="13" t="s">
        <v>26</v>
      </c>
      <c r="B32" s="12" t="s">
        <v>27</v>
      </c>
      <c r="C32" s="25">
        <v>15044</v>
      </c>
      <c r="D32" s="19"/>
      <c r="E32" s="16">
        <f t="shared" si="0"/>
        <v>15044</v>
      </c>
      <c r="H32" s="13" t="s">
        <v>61</v>
      </c>
      <c r="I32" s="12" t="s">
        <v>62</v>
      </c>
      <c r="J32" s="25">
        <f>10301</f>
        <v>10301</v>
      </c>
      <c r="K32" s="19"/>
      <c r="L32" s="16">
        <f t="shared" si="7"/>
        <v>10301</v>
      </c>
    </row>
    <row r="33" spans="1:12" x14ac:dyDescent="0.3">
      <c r="C33" s="24"/>
      <c r="D33" s="19"/>
      <c r="E33" s="16">
        <f t="shared" si="0"/>
        <v>0</v>
      </c>
      <c r="J33" s="24"/>
      <c r="K33" s="19"/>
      <c r="L33" s="16">
        <f t="shared" si="7"/>
        <v>0</v>
      </c>
    </row>
    <row r="34" spans="1:12" x14ac:dyDescent="0.3">
      <c r="B34" t="s">
        <v>28</v>
      </c>
      <c r="C34" s="26">
        <f>C6+C7+C13+C19+C30+C31</f>
        <v>839588.71</v>
      </c>
      <c r="D34" s="55">
        <f>D6+D7+D13+D19+D30+D31</f>
        <v>380389.58999999997</v>
      </c>
      <c r="E34" s="26">
        <f>E6+E7+E13+E19+E30+E31</f>
        <v>459199.12000000005</v>
      </c>
      <c r="I34" t="s">
        <v>28</v>
      </c>
      <c r="J34" s="26">
        <f>J6+J7+J13+J19+J30+J31</f>
        <v>0</v>
      </c>
      <c r="K34" s="55">
        <f>K6+K7+K13+K19+K30+K31</f>
        <v>282</v>
      </c>
      <c r="L34" s="26">
        <f>L6+L7+L13+L19+L30+L31</f>
        <v>-282</v>
      </c>
    </row>
    <row r="35" spans="1:12" x14ac:dyDescent="0.3">
      <c r="C35" s="50"/>
      <c r="D35" s="20"/>
      <c r="J35" s="50"/>
      <c r="K35" s="20"/>
    </row>
    <row r="36" spans="1:12" x14ac:dyDescent="0.3">
      <c r="A36" s="1" t="s">
        <v>53</v>
      </c>
      <c r="C36" s="50"/>
      <c r="D36" s="56" t="s">
        <v>54</v>
      </c>
      <c r="F36" s="2"/>
      <c r="H36" s="1" t="s">
        <v>53</v>
      </c>
      <c r="J36" s="50"/>
      <c r="K36" s="56" t="s">
        <v>54</v>
      </c>
    </row>
    <row r="37" spans="1:12" x14ac:dyDescent="0.3">
      <c r="C37" s="50"/>
      <c r="D37" s="20"/>
      <c r="F37" s="2"/>
      <c r="J37" s="50"/>
      <c r="K37" s="20"/>
    </row>
    <row r="38" spans="1:12" s="28" customFormat="1" x14ac:dyDescent="0.3">
      <c r="D38" s="29"/>
      <c r="F38" s="53"/>
      <c r="K38" s="29"/>
    </row>
    <row r="39" spans="1:12" s="28" customFormat="1" ht="21" x14ac:dyDescent="0.35">
      <c r="A39" s="83"/>
      <c r="B39" s="83"/>
      <c r="C39" s="30"/>
      <c r="D39" s="31"/>
      <c r="E39" s="32"/>
      <c r="F39" s="53"/>
      <c r="H39" s="83"/>
      <c r="I39" s="83"/>
      <c r="J39" s="30"/>
      <c r="K39" s="31"/>
      <c r="L39" s="32"/>
    </row>
    <row r="40" spans="1:12" s="28" customFormat="1" x14ac:dyDescent="0.3">
      <c r="B40" s="27"/>
      <c r="C40" s="33"/>
      <c r="D40" s="34"/>
      <c r="E40" s="35"/>
      <c r="F40" s="53"/>
      <c r="I40" s="27"/>
      <c r="J40" s="33"/>
      <c r="K40" s="34"/>
      <c r="L40" s="35"/>
    </row>
    <row r="41" spans="1:12" s="28" customFormat="1" x14ac:dyDescent="0.3">
      <c r="B41" s="27"/>
      <c r="C41" s="36"/>
      <c r="D41" s="37"/>
      <c r="E41" s="35"/>
      <c r="F41" s="53"/>
      <c r="I41" s="27"/>
      <c r="J41" s="36"/>
      <c r="K41" s="37"/>
      <c r="L41" s="35"/>
    </row>
    <row r="42" spans="1:12" s="28" customFormat="1" x14ac:dyDescent="0.3">
      <c r="B42" s="27"/>
      <c r="C42" s="36"/>
      <c r="D42" s="37"/>
      <c r="E42" s="35"/>
      <c r="F42" s="53"/>
      <c r="I42" s="27"/>
      <c r="J42" s="36"/>
      <c r="K42" s="37"/>
      <c r="L42" s="35"/>
    </row>
    <row r="43" spans="1:12" s="28" customFormat="1" x14ac:dyDescent="0.3">
      <c r="B43" s="27"/>
      <c r="C43" s="36"/>
      <c r="D43" s="37"/>
      <c r="E43" s="35"/>
      <c r="F43" s="53"/>
      <c r="I43" s="27"/>
      <c r="J43" s="36"/>
      <c r="K43" s="37"/>
      <c r="L43" s="35"/>
    </row>
    <row r="44" spans="1:12" s="28" customFormat="1" x14ac:dyDescent="0.3">
      <c r="B44" s="27"/>
      <c r="C44" s="36"/>
      <c r="D44" s="37"/>
      <c r="E44" s="35"/>
      <c r="F44" s="53"/>
      <c r="I44" s="27"/>
      <c r="J44" s="36"/>
      <c r="K44" s="37"/>
      <c r="L44" s="35"/>
    </row>
    <row r="45" spans="1:12" s="28" customFormat="1" x14ac:dyDescent="0.3">
      <c r="B45" s="27"/>
      <c r="C45" s="36"/>
      <c r="D45" s="37"/>
      <c r="E45" s="35"/>
      <c r="F45" s="53"/>
      <c r="I45" s="27"/>
      <c r="J45" s="36"/>
      <c r="K45" s="37"/>
      <c r="L45" s="35"/>
    </row>
    <row r="46" spans="1:12" s="28" customFormat="1" x14ac:dyDescent="0.3">
      <c r="B46" s="27"/>
      <c r="C46" s="36"/>
      <c r="D46" s="37"/>
      <c r="E46" s="35"/>
      <c r="F46" s="53"/>
      <c r="I46" s="27"/>
      <c r="J46" s="36"/>
      <c r="K46" s="37"/>
      <c r="L46" s="35"/>
    </row>
    <row r="47" spans="1:12" s="28" customFormat="1" x14ac:dyDescent="0.3">
      <c r="B47" s="27"/>
      <c r="C47" s="36"/>
      <c r="D47" s="37"/>
      <c r="E47" s="35"/>
      <c r="F47" s="53"/>
      <c r="I47" s="27"/>
      <c r="J47" s="36"/>
      <c r="K47" s="37"/>
      <c r="L47" s="35"/>
    </row>
    <row r="48" spans="1:12" s="28" customFormat="1" x14ac:dyDescent="0.3">
      <c r="B48" s="27"/>
      <c r="C48" s="36"/>
      <c r="D48" s="37"/>
      <c r="E48" s="35"/>
      <c r="F48" s="54"/>
      <c r="I48" s="27"/>
      <c r="J48" s="36"/>
      <c r="K48" s="37"/>
      <c r="L48" s="35"/>
    </row>
    <row r="49" spans="1:12" s="28" customFormat="1" x14ac:dyDescent="0.3">
      <c r="B49" s="27"/>
      <c r="C49" s="36"/>
      <c r="D49" s="37"/>
      <c r="E49" s="35"/>
      <c r="F49" s="53"/>
      <c r="I49" s="27"/>
      <c r="J49" s="36"/>
      <c r="K49" s="37"/>
      <c r="L49" s="35"/>
    </row>
    <row r="50" spans="1:12" s="28" customFormat="1" x14ac:dyDescent="0.3">
      <c r="B50" s="27"/>
      <c r="C50" s="36"/>
      <c r="D50" s="37"/>
      <c r="E50" s="35"/>
      <c r="F50" s="53"/>
      <c r="I50" s="27"/>
      <c r="J50" s="36"/>
      <c r="K50" s="37"/>
      <c r="L50" s="35"/>
    </row>
    <row r="51" spans="1:12" s="28" customFormat="1" x14ac:dyDescent="0.3">
      <c r="B51" s="27"/>
      <c r="C51" s="36"/>
      <c r="D51" s="37"/>
      <c r="E51" s="35"/>
      <c r="F51" s="53"/>
      <c r="I51" s="27"/>
      <c r="J51" s="36"/>
      <c r="K51" s="37"/>
      <c r="L51" s="35"/>
    </row>
    <row r="52" spans="1:12" s="28" customFormat="1" x14ac:dyDescent="0.3">
      <c r="B52" s="27"/>
      <c r="C52" s="36"/>
      <c r="D52" s="37"/>
      <c r="E52" s="35"/>
      <c r="F52" s="53"/>
      <c r="I52" s="27"/>
      <c r="J52" s="36"/>
      <c r="K52" s="37"/>
      <c r="L52" s="35"/>
    </row>
    <row r="53" spans="1:12" s="28" customFormat="1" x14ac:dyDescent="0.3">
      <c r="C53" s="33"/>
      <c r="D53" s="34"/>
      <c r="E53" s="35"/>
      <c r="F53" s="53"/>
      <c r="J53" s="33"/>
      <c r="K53" s="34"/>
      <c r="L53" s="35"/>
    </row>
    <row r="54" spans="1:12" s="28" customFormat="1" x14ac:dyDescent="0.3">
      <c r="C54" s="35"/>
      <c r="D54" s="34"/>
      <c r="E54" s="35"/>
      <c r="F54" s="53"/>
      <c r="J54" s="35"/>
      <c r="K54" s="34"/>
      <c r="L54" s="35"/>
    </row>
    <row r="55" spans="1:12" s="28" customFormat="1" x14ac:dyDescent="0.3">
      <c r="C55" s="35"/>
      <c r="D55" s="34"/>
      <c r="E55" s="35"/>
      <c r="F55" s="53"/>
      <c r="J55" s="35"/>
      <c r="K55" s="34"/>
      <c r="L55" s="35"/>
    </row>
    <row r="56" spans="1:12" s="28" customFormat="1" x14ac:dyDescent="0.3">
      <c r="A56" s="39"/>
      <c r="C56" s="40"/>
      <c r="D56" s="27"/>
      <c r="F56" s="53"/>
      <c r="H56" s="39"/>
      <c r="J56" s="40"/>
      <c r="K56" s="27"/>
    </row>
    <row r="57" spans="1:12" s="28" customFormat="1" x14ac:dyDescent="0.3">
      <c r="C57" s="41"/>
      <c r="D57" s="41"/>
      <c r="F57" s="53"/>
      <c r="J57" s="41"/>
      <c r="K57" s="41"/>
    </row>
    <row r="58" spans="1:12" s="28" customFormat="1" x14ac:dyDescent="0.3">
      <c r="A58" s="38"/>
      <c r="B58" s="27"/>
      <c r="C58" s="27"/>
      <c r="D58" s="27"/>
      <c r="F58" s="53"/>
      <c r="H58" s="38"/>
      <c r="I58" s="27"/>
      <c r="J58" s="27"/>
      <c r="K58" s="27"/>
    </row>
    <row r="59" spans="1:12" s="28" customFormat="1" x14ac:dyDescent="0.3">
      <c r="B59" s="27"/>
      <c r="C59" s="27"/>
      <c r="D59" s="27"/>
      <c r="F59" s="53"/>
      <c r="I59" s="27"/>
      <c r="J59" s="27"/>
      <c r="K59" s="27"/>
    </row>
    <row r="60" spans="1:12" s="28" customFormat="1" x14ac:dyDescent="0.3">
      <c r="B60" s="27"/>
      <c r="C60" s="27"/>
      <c r="D60" s="27"/>
      <c r="F60" s="53"/>
      <c r="I60" s="27"/>
      <c r="J60" s="27"/>
      <c r="K60" s="27"/>
    </row>
    <row r="61" spans="1:12" s="28" customFormat="1" x14ac:dyDescent="0.3">
      <c r="A61" s="38"/>
      <c r="B61" s="27"/>
      <c r="C61" s="27"/>
      <c r="D61" s="27"/>
      <c r="F61" s="53"/>
      <c r="H61" s="38"/>
      <c r="I61" s="27"/>
      <c r="J61" s="27"/>
      <c r="K61" s="27"/>
    </row>
    <row r="62" spans="1:12" s="28" customFormat="1" x14ac:dyDescent="0.3">
      <c r="A62" s="38"/>
      <c r="B62" s="27"/>
      <c r="C62" s="27"/>
      <c r="D62" s="27"/>
      <c r="F62" s="53"/>
      <c r="H62" s="38"/>
      <c r="I62" s="27"/>
      <c r="J62" s="27"/>
      <c r="K62" s="27"/>
    </row>
    <row r="63" spans="1:12" s="28" customFormat="1" x14ac:dyDescent="0.3">
      <c r="A63" s="38"/>
      <c r="B63" s="27"/>
      <c r="C63" s="27"/>
      <c r="D63" s="27"/>
      <c r="F63" s="53"/>
      <c r="H63" s="38"/>
      <c r="I63" s="27"/>
      <c r="J63" s="27"/>
      <c r="K63" s="27"/>
    </row>
    <row r="64" spans="1:12" s="28" customFormat="1" x14ac:dyDescent="0.3">
      <c r="A64" s="38"/>
      <c r="B64" s="27"/>
      <c r="C64" s="27"/>
      <c r="D64" s="27"/>
      <c r="F64" s="53"/>
      <c r="H64" s="38"/>
      <c r="I64" s="27"/>
      <c r="J64" s="27"/>
      <c r="K64" s="27"/>
    </row>
    <row r="65" spans="6:6" s="28" customFormat="1" x14ac:dyDescent="0.3">
      <c r="F65" s="53"/>
    </row>
  </sheetData>
  <mergeCells count="6">
    <mergeCell ref="A5:B5"/>
    <mergeCell ref="H5:I5"/>
    <mergeCell ref="A6:A7"/>
    <mergeCell ref="H6:H7"/>
    <mergeCell ref="A39:B39"/>
    <mergeCell ref="H39:I39"/>
  </mergeCells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7" zoomScaleNormal="100" workbookViewId="0">
      <selection activeCell="C26" sqref="C26"/>
    </sheetView>
  </sheetViews>
  <sheetFormatPr defaultRowHeight="18.75" x14ac:dyDescent="0.3"/>
  <cols>
    <col min="1" max="1" width="28.85546875" customWidth="1"/>
    <col min="2" max="2" width="11.42578125" customWidth="1"/>
    <col min="3" max="3" width="14.28515625" customWidth="1"/>
    <col min="4" max="4" width="15" customWidth="1"/>
    <col min="5" max="5" width="14.5703125" customWidth="1"/>
    <col min="6" max="6" width="11.42578125" style="1" customWidth="1"/>
    <col min="7" max="7" width="10.5703125" bestFit="1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</cols>
  <sheetData>
    <row r="1" spans="1:12" x14ac:dyDescent="0.3">
      <c r="B1" s="1" t="s">
        <v>56</v>
      </c>
      <c r="D1" s="1"/>
      <c r="I1" s="1" t="s">
        <v>60</v>
      </c>
      <c r="K1" s="1"/>
    </row>
    <row r="2" spans="1:12" x14ac:dyDescent="0.3">
      <c r="B2" s="1" t="s">
        <v>52</v>
      </c>
      <c r="D2" s="1"/>
      <c r="I2" s="1" t="s">
        <v>52</v>
      </c>
      <c r="K2" s="1"/>
    </row>
    <row r="3" spans="1:12" x14ac:dyDescent="0.3">
      <c r="B3" s="1"/>
      <c r="C3" s="1"/>
      <c r="D3" s="1"/>
      <c r="I3" s="1"/>
      <c r="J3" s="1"/>
      <c r="K3" s="1"/>
    </row>
    <row r="4" spans="1:12" ht="19.5" thickBot="1" x14ac:dyDescent="0.35">
      <c r="E4" s="1"/>
      <c r="G4" s="1"/>
      <c r="L4" s="1"/>
    </row>
    <row r="5" spans="1:12" ht="42.75" thickBot="1" x14ac:dyDescent="0.4">
      <c r="A5" s="79" t="s">
        <v>43</v>
      </c>
      <c r="B5" s="80"/>
      <c r="C5" s="8" t="s">
        <v>55</v>
      </c>
      <c r="D5" s="9" t="s">
        <v>64</v>
      </c>
      <c r="E5" s="10" t="s">
        <v>39</v>
      </c>
      <c r="F5" s="2"/>
      <c r="G5" s="2"/>
      <c r="H5" s="79" t="s">
        <v>43</v>
      </c>
      <c r="I5" s="80"/>
      <c r="J5" s="8" t="s">
        <v>55</v>
      </c>
      <c r="K5" s="9" t="s">
        <v>64</v>
      </c>
      <c r="L5" s="10" t="s">
        <v>39</v>
      </c>
    </row>
    <row r="6" spans="1:12" x14ac:dyDescent="0.3">
      <c r="A6" s="81" t="s">
        <v>0</v>
      </c>
      <c r="B6" s="11" t="s">
        <v>1</v>
      </c>
      <c r="C6" s="22">
        <f>549784-30145-1500+27000</f>
        <v>545139</v>
      </c>
      <c r="D6" s="18">
        <f>42312.4+40527.12+39636.72+52141.67+42181.53-74.64+36811.18+36137.16-37.32</f>
        <v>289635.82</v>
      </c>
      <c r="E6" s="14">
        <f>C6-D6</f>
        <v>255503.18</v>
      </c>
      <c r="F6" s="2"/>
      <c r="H6" s="81" t="s">
        <v>0</v>
      </c>
      <c r="I6" s="11" t="s">
        <v>1</v>
      </c>
      <c r="J6" s="22"/>
      <c r="K6" s="18">
        <v>10606.54</v>
      </c>
      <c r="L6" s="14">
        <f>J6-K6</f>
        <v>-10606.54</v>
      </c>
    </row>
    <row r="7" spans="1:12" x14ac:dyDescent="0.3">
      <c r="A7" s="82"/>
      <c r="B7" s="3" t="s">
        <v>2</v>
      </c>
      <c r="C7" s="23">
        <f>SUM(C8:C11)</f>
        <v>22500</v>
      </c>
      <c r="D7" s="17">
        <f>SUM(D8:D11)</f>
        <v>9737.7799999999988</v>
      </c>
      <c r="E7" s="15">
        <f t="shared" ref="E7:E33" si="0">C7-D7</f>
        <v>12762.220000000001</v>
      </c>
      <c r="F7" s="2"/>
      <c r="G7" s="2"/>
      <c r="H7" s="82"/>
      <c r="I7" s="3" t="s">
        <v>2</v>
      </c>
      <c r="J7" s="23"/>
      <c r="K7" s="17">
        <f>SUM(K8:K11)</f>
        <v>0</v>
      </c>
      <c r="L7" s="15">
        <f t="shared" ref="L7:L11" si="1">J7-K7</f>
        <v>0</v>
      </c>
    </row>
    <row r="8" spans="1:12" x14ac:dyDescent="0.3">
      <c r="A8" s="7" t="s">
        <v>3</v>
      </c>
      <c r="B8" s="4" t="s">
        <v>4</v>
      </c>
      <c r="C8" s="24">
        <v>2000</v>
      </c>
      <c r="D8" s="19"/>
      <c r="E8" s="16">
        <f t="shared" si="0"/>
        <v>2000</v>
      </c>
      <c r="H8" s="7" t="s">
        <v>3</v>
      </c>
      <c r="I8" s="4" t="s">
        <v>4</v>
      </c>
      <c r="J8" s="24"/>
      <c r="K8" s="19"/>
      <c r="L8" s="16">
        <f t="shared" si="1"/>
        <v>0</v>
      </c>
    </row>
    <row r="9" spans="1:12" x14ac:dyDescent="0.3">
      <c r="A9" s="7" t="s">
        <v>5</v>
      </c>
      <c r="B9" s="4" t="s">
        <v>6</v>
      </c>
      <c r="C9" s="24">
        <v>18000</v>
      </c>
      <c r="D9" s="19">
        <f>787.16+787.16+787.16+763.15+763.15+763.15+763.15</f>
        <v>5414.08</v>
      </c>
      <c r="E9" s="16">
        <f t="shared" si="0"/>
        <v>12585.92</v>
      </c>
      <c r="F9" s="2"/>
      <c r="G9" s="2"/>
      <c r="H9" s="7" t="s">
        <v>5</v>
      </c>
      <c r="I9" s="4" t="s">
        <v>6</v>
      </c>
      <c r="J9" s="24"/>
      <c r="K9" s="19"/>
      <c r="L9" s="16">
        <f t="shared" si="1"/>
        <v>0</v>
      </c>
    </row>
    <row r="10" spans="1:12" x14ac:dyDescent="0.3">
      <c r="A10" s="7" t="s">
        <v>7</v>
      </c>
      <c r="B10" s="4" t="s">
        <v>8</v>
      </c>
      <c r="C10" s="21"/>
      <c r="D10" s="19">
        <v>2114.64</v>
      </c>
      <c r="E10" s="16">
        <f t="shared" si="0"/>
        <v>-2114.64</v>
      </c>
      <c r="F10" s="2"/>
      <c r="G10" s="2"/>
      <c r="H10" s="7" t="s">
        <v>7</v>
      </c>
      <c r="I10" s="4" t="s">
        <v>8</v>
      </c>
      <c r="J10" s="21"/>
      <c r="K10" s="19"/>
      <c r="L10" s="16">
        <f t="shared" si="1"/>
        <v>0</v>
      </c>
    </row>
    <row r="11" spans="1:12" x14ac:dyDescent="0.3">
      <c r="A11" s="7" t="s">
        <v>9</v>
      </c>
      <c r="B11" s="4" t="s">
        <v>10</v>
      </c>
      <c r="C11" s="24">
        <v>2500</v>
      </c>
      <c r="D11" s="19">
        <f>406.1+711.39+422.5+166.96+264.93+237.18</f>
        <v>2209.06</v>
      </c>
      <c r="E11" s="16">
        <f t="shared" si="0"/>
        <v>290.94000000000005</v>
      </c>
      <c r="F11" s="2"/>
      <c r="G11" s="2"/>
      <c r="H11" s="7" t="s">
        <v>9</v>
      </c>
      <c r="I11" s="4" t="s">
        <v>10</v>
      </c>
      <c r="J11" s="24"/>
      <c r="K11" s="19"/>
      <c r="L11" s="16">
        <f t="shared" si="1"/>
        <v>0</v>
      </c>
    </row>
    <row r="12" spans="1:12" x14ac:dyDescent="0.3">
      <c r="A12" s="7"/>
      <c r="B12" s="4"/>
      <c r="C12" s="24"/>
      <c r="D12" s="19"/>
      <c r="E12" s="16"/>
      <c r="H12" s="7"/>
      <c r="I12" s="4"/>
      <c r="J12" s="24"/>
      <c r="K12" s="19"/>
      <c r="L12" s="16"/>
    </row>
    <row r="13" spans="1:12" ht="21" x14ac:dyDescent="0.35">
      <c r="A13" s="7" t="s">
        <v>11</v>
      </c>
      <c r="B13" s="3" t="s">
        <v>12</v>
      </c>
      <c r="C13" s="23">
        <f>SUM(C14:C17)</f>
        <v>127500</v>
      </c>
      <c r="D13" s="23">
        <f>SUM(D14:D17)</f>
        <v>66905.459999999992</v>
      </c>
      <c r="E13" s="15">
        <f>C13-D13</f>
        <v>60594.540000000008</v>
      </c>
      <c r="G13" s="5"/>
      <c r="H13" s="7" t="s">
        <v>11</v>
      </c>
      <c r="I13" s="3" t="s">
        <v>12</v>
      </c>
      <c r="J13" s="23"/>
      <c r="K13" s="23">
        <f>SUM(K14:K17)</f>
        <v>2473.46</v>
      </c>
      <c r="L13" s="15">
        <f>J13-K13</f>
        <v>-2473.46</v>
      </c>
    </row>
    <row r="14" spans="1:12" ht="21" x14ac:dyDescent="0.35">
      <c r="A14" s="7" t="s">
        <v>13</v>
      </c>
      <c r="B14" s="4" t="s">
        <v>14</v>
      </c>
      <c r="C14" s="24">
        <v>68000</v>
      </c>
      <c r="D14" s="19">
        <f>5169.86+4998.13+4840.13+6224.9+4991.89+4469.06+3805.92</f>
        <v>34499.89</v>
      </c>
      <c r="E14" s="16">
        <f>C14-D14</f>
        <v>33500.11</v>
      </c>
      <c r="G14" s="5"/>
      <c r="H14" s="7" t="s">
        <v>13</v>
      </c>
      <c r="I14" s="4" t="s">
        <v>14</v>
      </c>
      <c r="J14" s="24"/>
      <c r="K14" s="19">
        <v>1256.24</v>
      </c>
      <c r="L14" s="16">
        <f>J14-K14</f>
        <v>-1256.24</v>
      </c>
    </row>
    <row r="15" spans="1:12" ht="21" x14ac:dyDescent="0.35">
      <c r="A15" s="7" t="s">
        <v>15</v>
      </c>
      <c r="B15" s="4" t="s">
        <v>16</v>
      </c>
      <c r="C15" s="24">
        <v>20000</v>
      </c>
      <c r="D15" s="19">
        <f>1683.83+1636.44+1586.23+2022.36+1647.03+1503.6+1307.82</f>
        <v>11387.31</v>
      </c>
      <c r="E15" s="16">
        <f>C15-D15</f>
        <v>8612.69</v>
      </c>
      <c r="G15" s="6"/>
      <c r="H15" s="7" t="s">
        <v>15</v>
      </c>
      <c r="I15" s="4" t="s">
        <v>16</v>
      </c>
      <c r="J15" s="24"/>
      <c r="K15" s="19">
        <v>456.08</v>
      </c>
      <c r="L15" s="16">
        <f>J15-K15</f>
        <v>-456.08</v>
      </c>
    </row>
    <row r="16" spans="1:12" x14ac:dyDescent="0.3">
      <c r="A16" s="7" t="s">
        <v>17</v>
      </c>
      <c r="B16" s="4" t="s">
        <v>18</v>
      </c>
      <c r="C16" s="24">
        <v>27000</v>
      </c>
      <c r="D16" s="19">
        <f>2114.69+2081.33+2055.75+2532.53+2024.85+1923.37+1654.13</f>
        <v>14386.650000000001</v>
      </c>
      <c r="E16" s="16">
        <f t="shared" ref="E16:E17" si="2">C16-D16</f>
        <v>12613.349999999999</v>
      </c>
      <c r="H16" s="7" t="s">
        <v>17</v>
      </c>
      <c r="I16" s="4" t="s">
        <v>18</v>
      </c>
      <c r="J16" s="24"/>
      <c r="K16" s="19">
        <v>509.11</v>
      </c>
      <c r="L16" s="16">
        <f t="shared" ref="L16:L17" si="3">J16-K16</f>
        <v>-509.11</v>
      </c>
    </row>
    <row r="17" spans="1:12" x14ac:dyDescent="0.3">
      <c r="A17" s="7" t="s">
        <v>19</v>
      </c>
      <c r="B17" s="4" t="s">
        <v>20</v>
      </c>
      <c r="C17" s="24">
        <v>12500</v>
      </c>
      <c r="D17" s="19">
        <f>974.32+940.44+931.6+1163.16+908.93+884.03+829.13</f>
        <v>6631.6100000000006</v>
      </c>
      <c r="E17" s="16">
        <f t="shared" si="2"/>
        <v>5868.3899999999994</v>
      </c>
      <c r="H17" s="7" t="s">
        <v>19</v>
      </c>
      <c r="I17" s="4" t="s">
        <v>20</v>
      </c>
      <c r="J17" s="24"/>
      <c r="K17" s="19">
        <v>252.03</v>
      </c>
      <c r="L17" s="16">
        <f t="shared" si="3"/>
        <v>-252.03</v>
      </c>
    </row>
    <row r="18" spans="1:12" x14ac:dyDescent="0.3">
      <c r="A18" s="47"/>
      <c r="B18" s="4"/>
      <c r="C18" s="24"/>
      <c r="D18" s="19"/>
      <c r="E18" s="16"/>
      <c r="H18" s="47"/>
      <c r="I18" s="4"/>
      <c r="J18" s="24"/>
      <c r="K18" s="19"/>
      <c r="L18" s="16"/>
    </row>
    <row r="19" spans="1:12" x14ac:dyDescent="0.3">
      <c r="A19" s="48" t="s">
        <v>40</v>
      </c>
      <c r="B19" s="4" t="s">
        <v>29</v>
      </c>
      <c r="C19" s="24">
        <f>SUM(C20:C29)</f>
        <v>144149.71</v>
      </c>
      <c r="D19" s="17">
        <f>SUM(D20:D29)</f>
        <v>79834.579999999987</v>
      </c>
      <c r="E19" s="15">
        <f t="shared" si="0"/>
        <v>64315.130000000005</v>
      </c>
      <c r="F19" s="52"/>
      <c r="H19" s="48" t="s">
        <v>40</v>
      </c>
      <c r="I19" s="4" t="s">
        <v>29</v>
      </c>
      <c r="J19" s="24"/>
      <c r="K19" s="17">
        <f>SUM(K20:K29)</f>
        <v>282</v>
      </c>
      <c r="L19" s="15">
        <f t="shared" ref="L19:L20" si="4">J19-K19</f>
        <v>-282</v>
      </c>
    </row>
    <row r="20" spans="1:12" x14ac:dyDescent="0.3">
      <c r="A20" s="43" t="s">
        <v>21</v>
      </c>
      <c r="B20" s="44" t="s">
        <v>22</v>
      </c>
      <c r="C20" s="45">
        <v>40000</v>
      </c>
      <c r="D20" s="49">
        <f>4034+3509+3792+3943.5+3321+1978.5+464</f>
        <v>21042</v>
      </c>
      <c r="E20" s="16">
        <f t="shared" si="0"/>
        <v>18958</v>
      </c>
      <c r="H20" s="43" t="s">
        <v>21</v>
      </c>
      <c r="I20" s="44" t="s">
        <v>22</v>
      </c>
      <c r="J20" s="45"/>
      <c r="K20" s="49"/>
      <c r="L20" s="16">
        <f t="shared" si="4"/>
        <v>0</v>
      </c>
    </row>
    <row r="21" spans="1:12" x14ac:dyDescent="0.3">
      <c r="A21" s="43" t="s">
        <v>41</v>
      </c>
      <c r="B21" s="44" t="s">
        <v>30</v>
      </c>
      <c r="C21" s="45"/>
      <c r="D21" s="46"/>
      <c r="E21" s="15"/>
      <c r="H21" s="43" t="s">
        <v>41</v>
      </c>
      <c r="I21" s="44" t="s">
        <v>30</v>
      </c>
      <c r="J21" s="45"/>
      <c r="K21" s="46"/>
      <c r="L21" s="15"/>
    </row>
    <row r="22" spans="1:12" x14ac:dyDescent="0.3">
      <c r="A22" s="43" t="s">
        <v>42</v>
      </c>
      <c r="B22" s="44" t="s">
        <v>31</v>
      </c>
      <c r="C22" s="45">
        <v>1000</v>
      </c>
      <c r="D22" s="49"/>
      <c r="E22" s="16">
        <f t="shared" si="0"/>
        <v>1000</v>
      </c>
      <c r="H22" s="43" t="s">
        <v>42</v>
      </c>
      <c r="I22" s="44" t="s">
        <v>31</v>
      </c>
      <c r="J22" s="45"/>
      <c r="K22" s="49"/>
      <c r="L22" s="16">
        <f t="shared" ref="L22:L23" si="5">J22-K22</f>
        <v>0</v>
      </c>
    </row>
    <row r="23" spans="1:12" x14ac:dyDescent="0.3">
      <c r="A23" s="7" t="s">
        <v>23</v>
      </c>
      <c r="B23" s="12" t="s">
        <v>24</v>
      </c>
      <c r="C23" s="21"/>
      <c r="D23" s="19">
        <v>8171.4</v>
      </c>
      <c r="E23" s="16">
        <f t="shared" si="0"/>
        <v>-8171.4</v>
      </c>
      <c r="H23" s="7" t="s">
        <v>23</v>
      </c>
      <c r="I23" s="12" t="s">
        <v>24</v>
      </c>
      <c r="J23" s="21"/>
      <c r="K23" s="19"/>
      <c r="L23" s="16">
        <f t="shared" si="5"/>
        <v>0</v>
      </c>
    </row>
    <row r="24" spans="1:12" x14ac:dyDescent="0.3">
      <c r="A24" s="7" t="s">
        <v>32</v>
      </c>
      <c r="B24" s="12" t="s">
        <v>33</v>
      </c>
      <c r="C24" s="24">
        <f>15000+22458</f>
        <v>37458</v>
      </c>
      <c r="D24" s="19">
        <f>688+323.4+1373.4+858+239.38+1458.38-120-162+794</f>
        <v>5452.56</v>
      </c>
      <c r="E24" s="16">
        <f>C24-D24</f>
        <v>32005.439999999999</v>
      </c>
      <c r="H24" s="7" t="s">
        <v>32</v>
      </c>
      <c r="I24" s="12" t="s">
        <v>33</v>
      </c>
      <c r="J24" s="24"/>
      <c r="K24" s="19">
        <v>282</v>
      </c>
      <c r="L24" s="16">
        <f>J24-K24</f>
        <v>-282</v>
      </c>
    </row>
    <row r="25" spans="1:12" x14ac:dyDescent="0.3">
      <c r="A25" s="7" t="s">
        <v>34</v>
      </c>
      <c r="B25" s="4" t="s">
        <v>35</v>
      </c>
      <c r="C25" s="24">
        <v>20000</v>
      </c>
      <c r="D25" s="19">
        <f>234.8+293.18+298.57+191.75+243.66+182.85+163.52+10620.31</f>
        <v>12228.64</v>
      </c>
      <c r="E25" s="16">
        <f>C25-D25</f>
        <v>7771.3600000000006</v>
      </c>
      <c r="H25" s="7" t="s">
        <v>34</v>
      </c>
      <c r="I25" s="4" t="s">
        <v>35</v>
      </c>
      <c r="J25" s="24"/>
      <c r="K25" s="19"/>
      <c r="L25" s="16">
        <f>J25-K25</f>
        <v>0</v>
      </c>
    </row>
    <row r="26" spans="1:12" x14ac:dyDescent="0.3">
      <c r="A26" s="42" t="s">
        <v>44</v>
      </c>
      <c r="B26" s="12" t="s">
        <v>25</v>
      </c>
      <c r="C26" s="24">
        <f>20000+3191.71+11000</f>
        <v>34191.71</v>
      </c>
      <c r="D26" s="19">
        <f>1793.47+1761.94+1970.64+4619.57+2074.24+5054.83+14603.58+357.71</f>
        <v>32235.979999999996</v>
      </c>
      <c r="E26" s="15">
        <f t="shared" si="0"/>
        <v>1955.7300000000032</v>
      </c>
      <c r="H26" s="42" t="s">
        <v>44</v>
      </c>
      <c r="I26" s="12" t="s">
        <v>25</v>
      </c>
      <c r="J26" s="24"/>
      <c r="K26" s="19"/>
      <c r="L26" s="15">
        <f t="shared" ref="L26:L28" si="6">J26-K26</f>
        <v>0</v>
      </c>
    </row>
    <row r="27" spans="1:12" x14ac:dyDescent="0.3">
      <c r="A27" s="42" t="s">
        <v>36</v>
      </c>
      <c r="B27" s="12" t="s">
        <v>37</v>
      </c>
      <c r="C27" s="24">
        <v>10000</v>
      </c>
      <c r="D27" s="19"/>
      <c r="E27" s="16">
        <f t="shared" si="0"/>
        <v>10000</v>
      </c>
      <c r="H27" s="42" t="s">
        <v>36</v>
      </c>
      <c r="I27" s="12" t="s">
        <v>37</v>
      </c>
      <c r="J27" s="24"/>
      <c r="K27" s="19"/>
      <c r="L27" s="16">
        <f t="shared" si="6"/>
        <v>0</v>
      </c>
    </row>
    <row r="28" spans="1:12" x14ac:dyDescent="0.3">
      <c r="A28" s="42" t="s">
        <v>45</v>
      </c>
      <c r="B28" s="12" t="s">
        <v>38</v>
      </c>
      <c r="C28" s="24">
        <v>1500</v>
      </c>
      <c r="D28" s="19">
        <f>100+40+120+100+138+206</f>
        <v>704</v>
      </c>
      <c r="E28" s="16">
        <f t="shared" si="0"/>
        <v>796</v>
      </c>
      <c r="H28" s="42" t="s">
        <v>45</v>
      </c>
      <c r="I28" s="12" t="s">
        <v>38</v>
      </c>
      <c r="J28" s="24"/>
      <c r="K28" s="19"/>
      <c r="L28" s="16">
        <f t="shared" si="6"/>
        <v>0</v>
      </c>
    </row>
    <row r="29" spans="1:12" x14ac:dyDescent="0.3">
      <c r="A29" s="42" t="s">
        <v>46</v>
      </c>
      <c r="B29" s="12" t="s">
        <v>49</v>
      </c>
      <c r="C29" s="24"/>
      <c r="D29" s="19"/>
      <c r="E29" s="16"/>
      <c r="H29" s="42" t="s">
        <v>46</v>
      </c>
      <c r="I29" s="12" t="s">
        <v>49</v>
      </c>
      <c r="J29" s="24"/>
      <c r="K29" s="19"/>
      <c r="L29" s="16"/>
    </row>
    <row r="30" spans="1:12" x14ac:dyDescent="0.3">
      <c r="A30" s="42" t="s">
        <v>47</v>
      </c>
      <c r="B30" s="12" t="s">
        <v>50</v>
      </c>
      <c r="C30" s="24">
        <v>300</v>
      </c>
      <c r="D30" s="19"/>
      <c r="E30" s="16">
        <f t="shared" si="0"/>
        <v>300</v>
      </c>
      <c r="H30" s="42" t="s">
        <v>47</v>
      </c>
      <c r="I30" s="12" t="s">
        <v>50</v>
      </c>
      <c r="J30" s="24"/>
      <c r="K30" s="19"/>
      <c r="L30" s="16">
        <f t="shared" ref="L30:L33" si="7">J30-K30</f>
        <v>0</v>
      </c>
    </row>
    <row r="31" spans="1:12" x14ac:dyDescent="0.3">
      <c r="A31" s="7" t="s">
        <v>48</v>
      </c>
      <c r="B31" s="12" t="s">
        <v>51</v>
      </c>
      <c r="C31" s="24"/>
      <c r="D31" s="19"/>
      <c r="E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7"/>
        <v>0</v>
      </c>
    </row>
    <row r="32" spans="1:12" x14ac:dyDescent="0.3">
      <c r="A32" s="13" t="s">
        <v>26</v>
      </c>
      <c r="B32" s="12" t="s">
        <v>27</v>
      </c>
      <c r="C32" s="25">
        <v>15044</v>
      </c>
      <c r="D32" s="19"/>
      <c r="E32" s="16">
        <f t="shared" si="0"/>
        <v>15044</v>
      </c>
      <c r="H32" s="13" t="s">
        <v>61</v>
      </c>
      <c r="I32" s="12" t="s">
        <v>62</v>
      </c>
      <c r="J32" s="25">
        <f>10301+5430</f>
        <v>15731</v>
      </c>
      <c r="K32" s="19"/>
      <c r="L32" s="16">
        <f t="shared" si="7"/>
        <v>15731</v>
      </c>
    </row>
    <row r="33" spans="1:14" x14ac:dyDescent="0.3">
      <c r="C33" s="24"/>
      <c r="D33" s="19"/>
      <c r="E33" s="16">
        <f t="shared" si="0"/>
        <v>0</v>
      </c>
      <c r="J33" s="24"/>
      <c r="K33" s="19"/>
      <c r="L33" s="16">
        <f t="shared" si="7"/>
        <v>0</v>
      </c>
      <c r="N33" s="57">
        <f>L32-K34</f>
        <v>2369</v>
      </c>
    </row>
    <row r="34" spans="1:14" x14ac:dyDescent="0.3">
      <c r="B34" t="s">
        <v>28</v>
      </c>
      <c r="C34" s="26">
        <f>C6+C7+C13+C19+C30+C31</f>
        <v>839588.71</v>
      </c>
      <c r="D34" s="55">
        <f>D6+D7+D13+D19+D30+D31</f>
        <v>446113.6399999999</v>
      </c>
      <c r="E34" s="26">
        <f>E6+E7+E13+E19+E30+E31</f>
        <v>393475.07000000007</v>
      </c>
      <c r="I34" t="s">
        <v>28</v>
      </c>
      <c r="J34" s="26">
        <f>J6+J7+J13+J19+J30+J31</f>
        <v>0</v>
      </c>
      <c r="K34" s="55">
        <f>K6+K7+K13+K19+K30+K31</f>
        <v>13362</v>
      </c>
      <c r="L34" s="26">
        <f>L6+L7+L13+L19+L30+L31</f>
        <v>-13362</v>
      </c>
    </row>
    <row r="35" spans="1:14" x14ac:dyDescent="0.3">
      <c r="C35" s="50"/>
      <c r="D35" s="20"/>
      <c r="J35" s="50"/>
      <c r="K35" s="20"/>
    </row>
    <row r="36" spans="1:14" x14ac:dyDescent="0.3">
      <c r="A36" s="1" t="s">
        <v>53</v>
      </c>
      <c r="C36" s="50"/>
      <c r="D36" s="56" t="s">
        <v>54</v>
      </c>
      <c r="F36" s="2"/>
      <c r="H36" s="1" t="s">
        <v>53</v>
      </c>
      <c r="J36" s="50"/>
      <c r="K36" s="56" t="s">
        <v>54</v>
      </c>
    </row>
    <row r="37" spans="1:14" x14ac:dyDescent="0.3">
      <c r="C37" s="50"/>
      <c r="D37" s="20"/>
      <c r="F37" s="2"/>
      <c r="J37" s="50"/>
      <c r="K37" s="20"/>
    </row>
    <row r="38" spans="1:14" s="28" customFormat="1" x14ac:dyDescent="0.3">
      <c r="D38" s="29"/>
      <c r="F38" s="53"/>
      <c r="K38" s="29"/>
    </row>
    <row r="39" spans="1:14" s="28" customFormat="1" ht="21" x14ac:dyDescent="0.35">
      <c r="A39" s="83"/>
      <c r="B39" s="83"/>
      <c r="C39" s="30"/>
      <c r="D39" s="31"/>
      <c r="E39" s="32"/>
      <c r="F39" s="53"/>
      <c r="H39" s="83"/>
      <c r="I39" s="83"/>
      <c r="J39" s="30"/>
      <c r="K39" s="31"/>
      <c r="L39" s="32"/>
    </row>
    <row r="40" spans="1:14" s="28" customFormat="1" x14ac:dyDescent="0.3">
      <c r="B40" s="27"/>
      <c r="C40" s="33"/>
      <c r="D40" s="34"/>
      <c r="E40" s="35"/>
      <c r="F40" s="53"/>
      <c r="I40" s="27"/>
      <c r="J40" s="33"/>
      <c r="K40" s="34"/>
      <c r="L40" s="35"/>
    </row>
    <row r="41" spans="1:14" s="28" customFormat="1" x14ac:dyDescent="0.3">
      <c r="B41" s="27"/>
      <c r="C41" s="36"/>
      <c r="D41" s="37"/>
      <c r="E41" s="35"/>
      <c r="F41" s="53"/>
      <c r="I41" s="27"/>
      <c r="J41" s="36"/>
      <c r="K41" s="37"/>
      <c r="L41" s="35"/>
    </row>
    <row r="42" spans="1:14" s="28" customFormat="1" x14ac:dyDescent="0.3">
      <c r="B42" s="27"/>
      <c r="C42" s="36"/>
      <c r="D42" s="37"/>
      <c r="E42" s="35"/>
      <c r="F42" s="53"/>
      <c r="I42" s="27"/>
      <c r="J42" s="36"/>
      <c r="K42" s="37"/>
      <c r="L42" s="35"/>
    </row>
    <row r="43" spans="1:14" s="28" customFormat="1" x14ac:dyDescent="0.3">
      <c r="B43" s="27"/>
      <c r="C43" s="36"/>
      <c r="D43" s="37"/>
      <c r="E43" s="35"/>
      <c r="F43" s="53"/>
      <c r="I43" s="27"/>
      <c r="J43" s="36"/>
      <c r="K43" s="37"/>
      <c r="L43" s="35"/>
    </row>
    <row r="44" spans="1:14" s="28" customFormat="1" x14ac:dyDescent="0.3">
      <c r="B44" s="27"/>
      <c r="C44" s="36"/>
      <c r="D44" s="37"/>
      <c r="E44" s="35"/>
      <c r="F44" s="53"/>
      <c r="I44" s="27"/>
      <c r="J44" s="36"/>
      <c r="K44" s="37"/>
      <c r="L44" s="35"/>
    </row>
    <row r="45" spans="1:14" s="28" customFormat="1" x14ac:dyDescent="0.3">
      <c r="B45" s="27"/>
      <c r="C45" s="36"/>
      <c r="D45" s="37"/>
      <c r="E45" s="35"/>
      <c r="F45" s="53"/>
      <c r="I45" s="27"/>
      <c r="J45" s="36"/>
      <c r="K45" s="37"/>
      <c r="L45" s="35"/>
    </row>
    <row r="46" spans="1:14" s="28" customFormat="1" x14ac:dyDescent="0.3">
      <c r="B46" s="27"/>
      <c r="C46" s="36"/>
      <c r="D46" s="37"/>
      <c r="E46" s="35"/>
      <c r="F46" s="53"/>
      <c r="I46" s="27"/>
      <c r="J46" s="36"/>
      <c r="K46" s="37"/>
      <c r="L46" s="35"/>
    </row>
    <row r="47" spans="1:14" s="28" customFormat="1" x14ac:dyDescent="0.3">
      <c r="B47" s="27"/>
      <c r="C47" s="36"/>
      <c r="D47" s="37"/>
      <c r="E47" s="35"/>
      <c r="F47" s="53"/>
      <c r="I47" s="27"/>
      <c r="J47" s="36"/>
      <c r="K47" s="37"/>
      <c r="L47" s="35"/>
    </row>
    <row r="48" spans="1:14" s="28" customFormat="1" x14ac:dyDescent="0.3">
      <c r="B48" s="27"/>
      <c r="C48" s="36"/>
      <c r="D48" s="37"/>
      <c r="E48" s="35"/>
      <c r="F48" s="54"/>
      <c r="I48" s="27"/>
      <c r="J48" s="36"/>
      <c r="K48" s="37"/>
      <c r="L48" s="35"/>
    </row>
    <row r="49" spans="1:12" s="28" customFormat="1" x14ac:dyDescent="0.3">
      <c r="B49" s="27"/>
      <c r="C49" s="36"/>
      <c r="D49" s="37"/>
      <c r="E49" s="35"/>
      <c r="F49" s="53"/>
      <c r="I49" s="27"/>
      <c r="J49" s="36"/>
      <c r="K49" s="37"/>
      <c r="L49" s="35"/>
    </row>
    <row r="50" spans="1:12" s="28" customFormat="1" x14ac:dyDescent="0.3">
      <c r="B50" s="27"/>
      <c r="C50" s="36"/>
      <c r="D50" s="37"/>
      <c r="E50" s="35"/>
      <c r="F50" s="53"/>
      <c r="I50" s="27"/>
      <c r="J50" s="36"/>
      <c r="K50" s="37"/>
      <c r="L50" s="35"/>
    </row>
    <row r="51" spans="1:12" s="28" customFormat="1" x14ac:dyDescent="0.3">
      <c r="B51" s="27"/>
      <c r="C51" s="36"/>
      <c r="D51" s="37"/>
      <c r="E51" s="35"/>
      <c r="F51" s="53"/>
      <c r="I51" s="27"/>
      <c r="J51" s="36"/>
      <c r="K51" s="37"/>
      <c r="L51" s="35"/>
    </row>
    <row r="52" spans="1:12" s="28" customFormat="1" x14ac:dyDescent="0.3">
      <c r="B52" s="27"/>
      <c r="C52" s="36"/>
      <c r="D52" s="37"/>
      <c r="E52" s="35"/>
      <c r="F52" s="53"/>
      <c r="I52" s="27"/>
      <c r="J52" s="36"/>
      <c r="K52" s="37"/>
      <c r="L52" s="35"/>
    </row>
    <row r="53" spans="1:12" s="28" customFormat="1" x14ac:dyDescent="0.3">
      <c r="C53" s="33"/>
      <c r="D53" s="34"/>
      <c r="E53" s="35"/>
      <c r="F53" s="53"/>
      <c r="J53" s="33"/>
      <c r="K53" s="34"/>
      <c r="L53" s="35"/>
    </row>
    <row r="54" spans="1:12" s="28" customFormat="1" x14ac:dyDescent="0.3">
      <c r="C54" s="35"/>
      <c r="D54" s="34"/>
      <c r="E54" s="35"/>
      <c r="F54" s="53"/>
      <c r="J54" s="35"/>
      <c r="K54" s="34"/>
      <c r="L54" s="35"/>
    </row>
    <row r="55" spans="1:12" s="28" customFormat="1" x14ac:dyDescent="0.3">
      <c r="C55" s="35"/>
      <c r="D55" s="34"/>
      <c r="E55" s="35"/>
      <c r="F55" s="53"/>
      <c r="J55" s="35"/>
      <c r="K55" s="34"/>
      <c r="L55" s="35"/>
    </row>
    <row r="56" spans="1:12" s="28" customFormat="1" x14ac:dyDescent="0.3">
      <c r="A56" s="39"/>
      <c r="C56" s="40"/>
      <c r="D56" s="27"/>
      <c r="F56" s="53"/>
      <c r="H56" s="39"/>
      <c r="J56" s="40"/>
      <c r="K56" s="27"/>
    </row>
    <row r="57" spans="1:12" s="28" customFormat="1" x14ac:dyDescent="0.3">
      <c r="C57" s="41"/>
      <c r="D57" s="41"/>
      <c r="F57" s="53"/>
      <c r="J57" s="41"/>
      <c r="K57" s="41"/>
    </row>
    <row r="58" spans="1:12" s="28" customFormat="1" x14ac:dyDescent="0.3">
      <c r="A58" s="38"/>
      <c r="B58" s="27"/>
      <c r="C58" s="27"/>
      <c r="D58" s="27"/>
      <c r="F58" s="53"/>
      <c r="H58" s="38"/>
      <c r="I58" s="27"/>
      <c r="J58" s="27"/>
      <c r="K58" s="27"/>
    </row>
    <row r="59" spans="1:12" s="28" customFormat="1" x14ac:dyDescent="0.3">
      <c r="B59" s="27"/>
      <c r="C59" s="27"/>
      <c r="D59" s="27"/>
      <c r="F59" s="53"/>
      <c r="I59" s="27"/>
      <c r="J59" s="27"/>
      <c r="K59" s="27"/>
    </row>
    <row r="60" spans="1:12" s="28" customFormat="1" x14ac:dyDescent="0.3">
      <c r="B60" s="27"/>
      <c r="C60" s="27"/>
      <c r="D60" s="27"/>
      <c r="F60" s="53"/>
      <c r="I60" s="27"/>
      <c r="J60" s="27"/>
      <c r="K60" s="27"/>
    </row>
    <row r="61" spans="1:12" s="28" customFormat="1" x14ac:dyDescent="0.3">
      <c r="A61" s="38"/>
      <c r="B61" s="27"/>
      <c r="C61" s="27"/>
      <c r="D61" s="27"/>
      <c r="F61" s="53"/>
      <c r="H61" s="38"/>
      <c r="I61" s="27"/>
      <c r="J61" s="27"/>
      <c r="K61" s="27"/>
    </row>
    <row r="62" spans="1:12" s="28" customFormat="1" x14ac:dyDescent="0.3">
      <c r="A62" s="38"/>
      <c r="B62" s="27"/>
      <c r="C62" s="27"/>
      <c r="D62" s="27"/>
      <c r="F62" s="53"/>
      <c r="H62" s="38"/>
      <c r="I62" s="27"/>
      <c r="J62" s="27"/>
      <c r="K62" s="27"/>
    </row>
    <row r="63" spans="1:12" s="28" customFormat="1" x14ac:dyDescent="0.3">
      <c r="A63" s="38"/>
      <c r="B63" s="27"/>
      <c r="C63" s="27"/>
      <c r="D63" s="27"/>
      <c r="F63" s="53"/>
      <c r="H63" s="38"/>
      <c r="I63" s="27"/>
      <c r="J63" s="27"/>
      <c r="K63" s="27"/>
    </row>
    <row r="64" spans="1:12" s="28" customFormat="1" x14ac:dyDescent="0.3">
      <c r="A64" s="38"/>
      <c r="B64" s="27"/>
      <c r="C64" s="27"/>
      <c r="D64" s="27"/>
      <c r="F64" s="53"/>
      <c r="H64" s="38"/>
      <c r="I64" s="27"/>
      <c r="J64" s="27"/>
      <c r="K64" s="27"/>
    </row>
    <row r="65" spans="6:6" s="28" customFormat="1" x14ac:dyDescent="0.3">
      <c r="F65" s="53"/>
    </row>
  </sheetData>
  <mergeCells count="6">
    <mergeCell ref="A5:B5"/>
    <mergeCell ref="H5:I5"/>
    <mergeCell ref="A6:A7"/>
    <mergeCell ref="H6:H7"/>
    <mergeCell ref="A39:B39"/>
    <mergeCell ref="H39:I39"/>
  </mergeCells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16" workbookViewId="0">
      <selection activeCell="C35" sqref="C35"/>
    </sheetView>
  </sheetViews>
  <sheetFormatPr defaultRowHeight="18.75" x14ac:dyDescent="0.3"/>
  <cols>
    <col min="1" max="1" width="28.85546875" customWidth="1"/>
    <col min="2" max="2" width="11.42578125" customWidth="1"/>
    <col min="3" max="3" width="14.28515625" customWidth="1"/>
    <col min="4" max="4" width="15" customWidth="1"/>
    <col min="5" max="5" width="14.5703125" customWidth="1"/>
    <col min="6" max="6" width="11.42578125" style="1" customWidth="1"/>
    <col min="7" max="7" width="10.5703125" bestFit="1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</cols>
  <sheetData>
    <row r="1" spans="1:12" x14ac:dyDescent="0.3">
      <c r="B1" s="1" t="s">
        <v>56</v>
      </c>
      <c r="D1" s="1"/>
      <c r="I1" s="1" t="s">
        <v>60</v>
      </c>
      <c r="K1" s="1"/>
    </row>
    <row r="2" spans="1:12" x14ac:dyDescent="0.3">
      <c r="B2" s="1" t="s">
        <v>52</v>
      </c>
      <c r="D2" s="1"/>
      <c r="I2" s="1" t="s">
        <v>52</v>
      </c>
      <c r="K2" s="1"/>
    </row>
    <row r="3" spans="1:12" x14ac:dyDescent="0.3">
      <c r="B3" s="1"/>
      <c r="C3" s="1"/>
      <c r="D3" s="1"/>
      <c r="I3" s="1"/>
      <c r="J3" s="1"/>
      <c r="K3" s="1"/>
    </row>
    <row r="4" spans="1:12" ht="19.5" thickBot="1" x14ac:dyDescent="0.35">
      <c r="E4" s="1"/>
      <c r="G4" s="1"/>
      <c r="L4" s="1"/>
    </row>
    <row r="5" spans="1:12" ht="42.75" thickBot="1" x14ac:dyDescent="0.4">
      <c r="A5" s="79" t="s">
        <v>43</v>
      </c>
      <c r="B5" s="80"/>
      <c r="C5" s="8" t="s">
        <v>55</v>
      </c>
      <c r="D5" s="9" t="s">
        <v>65</v>
      </c>
      <c r="E5" s="10" t="s">
        <v>39</v>
      </c>
      <c r="F5" s="2"/>
      <c r="G5" s="2"/>
      <c r="H5" s="79" t="s">
        <v>43</v>
      </c>
      <c r="I5" s="80"/>
      <c r="J5" s="8" t="s">
        <v>55</v>
      </c>
      <c r="K5" s="9" t="s">
        <v>65</v>
      </c>
      <c r="L5" s="10" t="s">
        <v>39</v>
      </c>
    </row>
    <row r="6" spans="1:12" x14ac:dyDescent="0.3">
      <c r="A6" s="81" t="s">
        <v>0</v>
      </c>
      <c r="B6" s="11" t="s">
        <v>1</v>
      </c>
      <c r="C6" s="22">
        <f>549784-30145-1500+27000</f>
        <v>545139</v>
      </c>
      <c r="D6" s="18">
        <f>42312.4+40527.12+39636.72+52141.67+42181.53-74.64+36811.18+36137.16-37.32+45707.36</f>
        <v>335343.18</v>
      </c>
      <c r="E6" s="14">
        <f>C6-D6</f>
        <v>209795.82</v>
      </c>
      <c r="F6" s="2"/>
      <c r="H6" s="81" t="s">
        <v>0</v>
      </c>
      <c r="I6" s="11" t="s">
        <v>1</v>
      </c>
      <c r="J6" s="22"/>
      <c r="K6" s="18">
        <v>10606.54</v>
      </c>
      <c r="L6" s="14">
        <f>J6-K6</f>
        <v>-10606.54</v>
      </c>
    </row>
    <row r="7" spans="1:12" x14ac:dyDescent="0.3">
      <c r="A7" s="82"/>
      <c r="B7" s="3" t="s">
        <v>2</v>
      </c>
      <c r="C7" s="23">
        <f>SUM(C8:C11)</f>
        <v>22500</v>
      </c>
      <c r="D7" s="17">
        <f>SUM(D8:D11)</f>
        <v>10453.939999999999</v>
      </c>
      <c r="E7" s="15">
        <f t="shared" ref="E7:E33" si="0">C7-D7</f>
        <v>12046.060000000001</v>
      </c>
      <c r="F7" s="2"/>
      <c r="G7" s="2"/>
      <c r="H7" s="82"/>
      <c r="I7" s="3" t="s">
        <v>2</v>
      </c>
      <c r="J7" s="23"/>
      <c r="K7" s="17">
        <f>SUM(K8:K11)</f>
        <v>0</v>
      </c>
      <c r="L7" s="15">
        <f t="shared" ref="L7:L11" si="1">J7-K7</f>
        <v>0</v>
      </c>
    </row>
    <row r="8" spans="1:12" x14ac:dyDescent="0.3">
      <c r="A8" s="7" t="s">
        <v>3</v>
      </c>
      <c r="B8" s="4" t="s">
        <v>4</v>
      </c>
      <c r="C8" s="24">
        <v>2000</v>
      </c>
      <c r="D8" s="19"/>
      <c r="E8" s="16">
        <f t="shared" si="0"/>
        <v>2000</v>
      </c>
      <c r="H8" s="7" t="s">
        <v>3</v>
      </c>
      <c r="I8" s="4" t="s">
        <v>4</v>
      </c>
      <c r="J8" s="24"/>
      <c r="K8" s="19"/>
      <c r="L8" s="16">
        <f t="shared" si="1"/>
        <v>0</v>
      </c>
    </row>
    <row r="9" spans="1:12" x14ac:dyDescent="0.3">
      <c r="A9" s="7" t="s">
        <v>5</v>
      </c>
      <c r="B9" s="4" t="s">
        <v>6</v>
      </c>
      <c r="C9" s="24">
        <v>18000</v>
      </c>
      <c r="D9" s="19">
        <f>787.16+787.16+787.16+763.15+763.15+763.15+763.15+716.16</f>
        <v>6130.24</v>
      </c>
      <c r="E9" s="16">
        <f t="shared" si="0"/>
        <v>11869.76</v>
      </c>
      <c r="F9" s="2"/>
      <c r="G9" s="2"/>
      <c r="H9" s="7" t="s">
        <v>5</v>
      </c>
      <c r="I9" s="4" t="s">
        <v>6</v>
      </c>
      <c r="J9" s="24"/>
      <c r="K9" s="19"/>
      <c r="L9" s="16">
        <f t="shared" si="1"/>
        <v>0</v>
      </c>
    </row>
    <row r="10" spans="1:12" x14ac:dyDescent="0.3">
      <c r="A10" s="7" t="s">
        <v>7</v>
      </c>
      <c r="B10" s="4" t="s">
        <v>8</v>
      </c>
      <c r="C10" s="21"/>
      <c r="D10" s="19">
        <v>2114.64</v>
      </c>
      <c r="E10" s="16">
        <f t="shared" si="0"/>
        <v>-2114.64</v>
      </c>
      <c r="F10" s="2"/>
      <c r="G10" s="2"/>
      <c r="H10" s="7" t="s">
        <v>7</v>
      </c>
      <c r="I10" s="4" t="s">
        <v>8</v>
      </c>
      <c r="J10" s="21"/>
      <c r="K10" s="19"/>
      <c r="L10" s="16">
        <f t="shared" si="1"/>
        <v>0</v>
      </c>
    </row>
    <row r="11" spans="1:12" x14ac:dyDescent="0.3">
      <c r="A11" s="7" t="s">
        <v>9</v>
      </c>
      <c r="B11" s="4" t="s">
        <v>10</v>
      </c>
      <c r="C11" s="24">
        <v>2500</v>
      </c>
      <c r="D11" s="19">
        <f>406.1+711.39+422.5+166.96+264.93+237.18</f>
        <v>2209.06</v>
      </c>
      <c r="E11" s="16">
        <f t="shared" si="0"/>
        <v>290.94000000000005</v>
      </c>
      <c r="F11" s="2"/>
      <c r="G11" s="2"/>
      <c r="H11" s="7" t="s">
        <v>9</v>
      </c>
      <c r="I11" s="4" t="s">
        <v>10</v>
      </c>
      <c r="J11" s="24"/>
      <c r="K11" s="19"/>
      <c r="L11" s="16">
        <f t="shared" si="1"/>
        <v>0</v>
      </c>
    </row>
    <row r="12" spans="1:12" x14ac:dyDescent="0.3">
      <c r="A12" s="7"/>
      <c r="B12" s="4"/>
      <c r="C12" s="24"/>
      <c r="D12" s="19"/>
      <c r="E12" s="16"/>
      <c r="H12" s="7"/>
      <c r="I12" s="4"/>
      <c r="J12" s="24"/>
      <c r="K12" s="19"/>
      <c r="L12" s="16"/>
    </row>
    <row r="13" spans="1:12" ht="21" x14ac:dyDescent="0.35">
      <c r="A13" s="7" t="s">
        <v>11</v>
      </c>
      <c r="B13" s="3" t="s">
        <v>12</v>
      </c>
      <c r="C13" s="23">
        <f>SUM(C14:C17)</f>
        <v>127500</v>
      </c>
      <c r="D13" s="23">
        <f>SUM(D14:D17)</f>
        <v>77542.45</v>
      </c>
      <c r="E13" s="15">
        <f>C13-D13</f>
        <v>49957.55</v>
      </c>
      <c r="G13" s="5"/>
      <c r="H13" s="7" t="s">
        <v>11</v>
      </c>
      <c r="I13" s="3" t="s">
        <v>12</v>
      </c>
      <c r="J13" s="23"/>
      <c r="K13" s="58">
        <f>SUM(K14:K17)</f>
        <v>2473.46</v>
      </c>
      <c r="L13" s="15">
        <f>J13-K13</f>
        <v>-2473.46</v>
      </c>
    </row>
    <row r="14" spans="1:12" ht="21" x14ac:dyDescent="0.35">
      <c r="A14" s="7" t="s">
        <v>13</v>
      </c>
      <c r="B14" s="4" t="s">
        <v>14</v>
      </c>
      <c r="C14" s="24">
        <v>68000</v>
      </c>
      <c r="D14" s="19">
        <f>5169.86+4998.13+4840.13+6224.9+4991.89+4469.06+3805.92+5369.22</f>
        <v>39869.11</v>
      </c>
      <c r="E14" s="16">
        <f>C14-D14</f>
        <v>28130.89</v>
      </c>
      <c r="G14" s="5"/>
      <c r="H14" s="7" t="s">
        <v>13</v>
      </c>
      <c r="I14" s="4" t="s">
        <v>14</v>
      </c>
      <c r="J14" s="24"/>
      <c r="K14" s="19">
        <v>1256.24</v>
      </c>
      <c r="L14" s="16">
        <f>J14-K14</f>
        <v>-1256.24</v>
      </c>
    </row>
    <row r="15" spans="1:12" ht="21" x14ac:dyDescent="0.35">
      <c r="A15" s="7" t="s">
        <v>15</v>
      </c>
      <c r="B15" s="4" t="s">
        <v>16</v>
      </c>
      <c r="C15" s="24">
        <v>20000</v>
      </c>
      <c r="D15" s="19">
        <f>1683.83+1636.44+1586.23+2022.36+1647.03+1503.6+1307.82+1791.82</f>
        <v>13179.13</v>
      </c>
      <c r="E15" s="16">
        <f>C15-D15</f>
        <v>6820.8700000000008</v>
      </c>
      <c r="G15" s="6"/>
      <c r="H15" s="7" t="s">
        <v>15</v>
      </c>
      <c r="I15" s="4" t="s">
        <v>16</v>
      </c>
      <c r="J15" s="24"/>
      <c r="K15" s="19">
        <v>456.08</v>
      </c>
      <c r="L15" s="16">
        <f>J15-K15</f>
        <v>-456.08</v>
      </c>
    </row>
    <row r="16" spans="1:12" x14ac:dyDescent="0.3">
      <c r="A16" s="7" t="s">
        <v>17</v>
      </c>
      <c r="B16" s="4" t="s">
        <v>18</v>
      </c>
      <c r="C16" s="24">
        <v>27000</v>
      </c>
      <c r="D16" s="19">
        <f>2114.69+2081.33+2055.75+2532.53+2024.85+1923.37+1654.13+2299.16</f>
        <v>16685.810000000001</v>
      </c>
      <c r="E16" s="16">
        <f t="shared" ref="E16:E17" si="2">C16-D16</f>
        <v>10314.189999999999</v>
      </c>
      <c r="H16" s="7" t="s">
        <v>17</v>
      </c>
      <c r="I16" s="4" t="s">
        <v>18</v>
      </c>
      <c r="J16" s="24"/>
      <c r="K16" s="19">
        <v>509.11</v>
      </c>
      <c r="L16" s="16">
        <f t="shared" ref="L16:L17" si="3">J16-K16</f>
        <v>-509.11</v>
      </c>
    </row>
    <row r="17" spans="1:12" x14ac:dyDescent="0.3">
      <c r="A17" s="7" t="s">
        <v>19</v>
      </c>
      <c r="B17" s="4" t="s">
        <v>20</v>
      </c>
      <c r="C17" s="24">
        <v>12500</v>
      </c>
      <c r="D17" s="19">
        <f>974.32+940.44+931.6+1163.16+908.93+884.03+829.13+1176.79</f>
        <v>7808.4000000000005</v>
      </c>
      <c r="E17" s="16">
        <f t="shared" si="2"/>
        <v>4691.5999999999995</v>
      </c>
      <c r="H17" s="7" t="s">
        <v>19</v>
      </c>
      <c r="I17" s="4" t="s">
        <v>20</v>
      </c>
      <c r="J17" s="24"/>
      <c r="K17" s="19">
        <v>252.03</v>
      </c>
      <c r="L17" s="16">
        <f t="shared" si="3"/>
        <v>-252.03</v>
      </c>
    </row>
    <row r="18" spans="1:12" x14ac:dyDescent="0.3">
      <c r="A18" s="47"/>
      <c r="B18" s="4"/>
      <c r="C18" s="24"/>
      <c r="D18" s="19"/>
      <c r="E18" s="16"/>
      <c r="H18" s="47"/>
      <c r="I18" s="4"/>
      <c r="J18" s="24"/>
      <c r="K18" s="19"/>
      <c r="L18" s="16"/>
    </row>
    <row r="19" spans="1:12" x14ac:dyDescent="0.3">
      <c r="A19" s="48" t="s">
        <v>40</v>
      </c>
      <c r="B19" s="4" t="s">
        <v>29</v>
      </c>
      <c r="C19" s="24">
        <f>SUM(C20:C29)</f>
        <v>154665.19</v>
      </c>
      <c r="D19" s="17">
        <f>SUM(D20:D29)</f>
        <v>83432.320000000007</v>
      </c>
      <c r="E19" s="15">
        <f t="shared" si="0"/>
        <v>71232.87</v>
      </c>
      <c r="F19" s="52"/>
      <c r="H19" s="48" t="s">
        <v>40</v>
      </c>
      <c r="I19" s="4" t="s">
        <v>29</v>
      </c>
      <c r="J19" s="24"/>
      <c r="K19" s="17">
        <f>SUM(K20:K29)</f>
        <v>6658</v>
      </c>
      <c r="L19" s="15">
        <f t="shared" ref="L19:L20" si="4">J19-K19</f>
        <v>-6658</v>
      </c>
    </row>
    <row r="20" spans="1:12" x14ac:dyDescent="0.3">
      <c r="A20" s="43" t="s">
        <v>21</v>
      </c>
      <c r="B20" s="44" t="s">
        <v>22</v>
      </c>
      <c r="C20" s="45">
        <v>40000</v>
      </c>
      <c r="D20" s="49">
        <f>4034+3509+3792+3943.5+3321+1978.5+464+499.5</f>
        <v>21541.5</v>
      </c>
      <c r="E20" s="16">
        <f t="shared" si="0"/>
        <v>18458.5</v>
      </c>
      <c r="H20" s="43" t="s">
        <v>21</v>
      </c>
      <c r="I20" s="44" t="s">
        <v>22</v>
      </c>
      <c r="J20" s="45"/>
      <c r="K20" s="49"/>
      <c r="L20" s="16">
        <f t="shared" si="4"/>
        <v>0</v>
      </c>
    </row>
    <row r="21" spans="1:12" x14ac:dyDescent="0.3">
      <c r="A21" s="43" t="s">
        <v>41</v>
      </c>
      <c r="B21" s="44" t="s">
        <v>30</v>
      </c>
      <c r="C21" s="45"/>
      <c r="D21" s="46"/>
      <c r="E21" s="15"/>
      <c r="H21" s="43" t="s">
        <v>41</v>
      </c>
      <c r="I21" s="44" t="s">
        <v>30</v>
      </c>
      <c r="J21" s="45"/>
      <c r="K21" s="46"/>
      <c r="L21" s="15"/>
    </row>
    <row r="22" spans="1:12" x14ac:dyDescent="0.3">
      <c r="A22" s="43" t="s">
        <v>42</v>
      </c>
      <c r="B22" s="44" t="s">
        <v>31</v>
      </c>
      <c r="C22" s="45">
        <v>1000</v>
      </c>
      <c r="D22" s="49"/>
      <c r="E22" s="16">
        <f t="shared" si="0"/>
        <v>1000</v>
      </c>
      <c r="H22" s="43" t="s">
        <v>42</v>
      </c>
      <c r="I22" s="44" t="s">
        <v>31</v>
      </c>
      <c r="J22" s="45"/>
      <c r="K22" s="49"/>
      <c r="L22" s="16">
        <f t="shared" ref="L22:L23" si="5">J22-K22</f>
        <v>0</v>
      </c>
    </row>
    <row r="23" spans="1:12" x14ac:dyDescent="0.3">
      <c r="A23" s="7" t="s">
        <v>23</v>
      </c>
      <c r="B23" s="12" t="s">
        <v>24</v>
      </c>
      <c r="C23" s="21">
        <v>8171.4</v>
      </c>
      <c r="D23" s="19">
        <v>8171.4</v>
      </c>
      <c r="E23" s="16">
        <f t="shared" si="0"/>
        <v>0</v>
      </c>
      <c r="H23" s="7" t="s">
        <v>23</v>
      </c>
      <c r="I23" s="12" t="s">
        <v>24</v>
      </c>
      <c r="J23" s="21"/>
      <c r="K23" s="19"/>
      <c r="L23" s="16">
        <f t="shared" si="5"/>
        <v>0</v>
      </c>
    </row>
    <row r="24" spans="1:12" x14ac:dyDescent="0.3">
      <c r="A24" s="7" t="s">
        <v>32</v>
      </c>
      <c r="B24" s="12" t="s">
        <v>33</v>
      </c>
      <c r="C24" s="24">
        <f>15000+22458</f>
        <v>37458</v>
      </c>
      <c r="D24" s="19">
        <f>688+323.4+1373.4+858+239.38+1458.38-120-162+794+1187.03</f>
        <v>6639.59</v>
      </c>
      <c r="E24" s="16">
        <f>C24-D24</f>
        <v>30818.41</v>
      </c>
      <c r="H24" s="7" t="s">
        <v>32</v>
      </c>
      <c r="I24" s="12" t="s">
        <v>33</v>
      </c>
      <c r="J24" s="24"/>
      <c r="K24" s="19">
        <f>282+6376</f>
        <v>6658</v>
      </c>
      <c r="L24" s="16">
        <f>J24-K24</f>
        <v>-6658</v>
      </c>
    </row>
    <row r="25" spans="1:12" x14ac:dyDescent="0.3">
      <c r="A25" s="7" t="s">
        <v>34</v>
      </c>
      <c r="B25" s="4" t="s">
        <v>35</v>
      </c>
      <c r="C25" s="24">
        <v>20000</v>
      </c>
      <c r="D25" s="19">
        <f>234.8+293.18+298.57+191.75+243.66+182.85+163.52+10620.31+102.42</f>
        <v>12331.06</v>
      </c>
      <c r="E25" s="16">
        <f>C25-D25</f>
        <v>7668.9400000000005</v>
      </c>
      <c r="H25" s="7" t="s">
        <v>34</v>
      </c>
      <c r="I25" s="4" t="s">
        <v>35</v>
      </c>
      <c r="J25" s="24"/>
      <c r="K25" s="19"/>
      <c r="L25" s="16">
        <f>J25-K25</f>
        <v>0</v>
      </c>
    </row>
    <row r="26" spans="1:12" x14ac:dyDescent="0.3">
      <c r="A26" s="42" t="s">
        <v>44</v>
      </c>
      <c r="B26" s="12" t="s">
        <v>25</v>
      </c>
      <c r="C26" s="24">
        <f>20000+3191.71+11000+2344.08</f>
        <v>36535.79</v>
      </c>
      <c r="D26" s="19">
        <f>1793.47+1761.94+1970.64+4619.57+2074.24+5054.83+14603.58+357.71+1758.79</f>
        <v>33994.769999999997</v>
      </c>
      <c r="E26" s="15">
        <f t="shared" si="0"/>
        <v>2541.0200000000041</v>
      </c>
      <c r="H26" s="42" t="s">
        <v>44</v>
      </c>
      <c r="I26" s="12" t="s">
        <v>25</v>
      </c>
      <c r="J26" s="24"/>
      <c r="K26" s="19"/>
      <c r="L26" s="15">
        <f t="shared" ref="L26:L28" si="6">J26-K26</f>
        <v>0</v>
      </c>
    </row>
    <row r="27" spans="1:12" x14ac:dyDescent="0.3">
      <c r="A27" s="42" t="s">
        <v>36</v>
      </c>
      <c r="B27" s="12" t="s">
        <v>37</v>
      </c>
      <c r="C27" s="24">
        <v>10000</v>
      </c>
      <c r="D27" s="19"/>
      <c r="E27" s="16">
        <f t="shared" si="0"/>
        <v>10000</v>
      </c>
      <c r="H27" s="42" t="s">
        <v>36</v>
      </c>
      <c r="I27" s="12" t="s">
        <v>37</v>
      </c>
      <c r="J27" s="24"/>
      <c r="K27" s="19"/>
      <c r="L27" s="16">
        <f t="shared" si="6"/>
        <v>0</v>
      </c>
    </row>
    <row r="28" spans="1:12" x14ac:dyDescent="0.3">
      <c r="A28" s="42" t="s">
        <v>45</v>
      </c>
      <c r="B28" s="12" t="s">
        <v>38</v>
      </c>
      <c r="C28" s="24">
        <v>1500</v>
      </c>
      <c r="D28" s="19">
        <f>100+40+120+100+138+206+50</f>
        <v>754</v>
      </c>
      <c r="E28" s="16">
        <f t="shared" si="0"/>
        <v>746</v>
      </c>
      <c r="H28" s="42" t="s">
        <v>45</v>
      </c>
      <c r="I28" s="12" t="s">
        <v>38</v>
      </c>
      <c r="J28" s="24"/>
      <c r="K28" s="19"/>
      <c r="L28" s="16">
        <f t="shared" si="6"/>
        <v>0</v>
      </c>
    </row>
    <row r="29" spans="1:12" x14ac:dyDescent="0.3">
      <c r="A29" s="42" t="s">
        <v>46</v>
      </c>
      <c r="B29" s="12" t="s">
        <v>49</v>
      </c>
      <c r="C29" s="24"/>
      <c r="D29" s="19"/>
      <c r="E29" s="16"/>
      <c r="H29" s="42" t="s">
        <v>46</v>
      </c>
      <c r="I29" s="12" t="s">
        <v>49</v>
      </c>
      <c r="J29" s="24"/>
      <c r="K29" s="19"/>
      <c r="L29" s="16"/>
    </row>
    <row r="30" spans="1:12" x14ac:dyDescent="0.3">
      <c r="A30" s="42" t="s">
        <v>47</v>
      </c>
      <c r="B30" s="12" t="s">
        <v>50</v>
      </c>
      <c r="C30" s="24">
        <v>300</v>
      </c>
      <c r="D30" s="19"/>
      <c r="E30" s="16">
        <f t="shared" si="0"/>
        <v>300</v>
      </c>
      <c r="H30" s="42" t="s">
        <v>47</v>
      </c>
      <c r="I30" s="12" t="s">
        <v>50</v>
      </c>
      <c r="J30" s="24"/>
      <c r="K30" s="19"/>
      <c r="L30" s="16">
        <f t="shared" ref="L30:L33" si="7">J30-K30</f>
        <v>0</v>
      </c>
    </row>
    <row r="31" spans="1:12" x14ac:dyDescent="0.3">
      <c r="A31" s="7" t="s">
        <v>48</v>
      </c>
      <c r="B31" s="12" t="s">
        <v>51</v>
      </c>
      <c r="C31" s="24"/>
      <c r="D31" s="19"/>
      <c r="E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7"/>
        <v>0</v>
      </c>
    </row>
    <row r="32" spans="1:12" x14ac:dyDescent="0.3">
      <c r="A32" s="13" t="s">
        <v>26</v>
      </c>
      <c r="B32" s="12" t="s">
        <v>27</v>
      </c>
      <c r="C32" s="25">
        <v>15044</v>
      </c>
      <c r="D32" s="19"/>
      <c r="E32" s="16">
        <f t="shared" si="0"/>
        <v>15044</v>
      </c>
      <c r="H32" s="13" t="s">
        <v>61</v>
      </c>
      <c r="I32" s="12" t="s">
        <v>62</v>
      </c>
      <c r="J32" s="25">
        <f>10301+5430+5656</f>
        <v>21387</v>
      </c>
      <c r="K32" s="19"/>
      <c r="L32" s="16">
        <f t="shared" si="7"/>
        <v>21387</v>
      </c>
    </row>
    <row r="33" spans="1:14" x14ac:dyDescent="0.3">
      <c r="C33" s="24"/>
      <c r="D33" s="19"/>
      <c r="E33" s="16">
        <f t="shared" si="0"/>
        <v>0</v>
      </c>
      <c r="J33" s="24"/>
      <c r="K33" s="19"/>
      <c r="L33" s="16">
        <f t="shared" si="7"/>
        <v>0</v>
      </c>
      <c r="N33" s="57">
        <f>L32-K34</f>
        <v>1649</v>
      </c>
    </row>
    <row r="34" spans="1:14" x14ac:dyDescent="0.3">
      <c r="B34" t="s">
        <v>28</v>
      </c>
      <c r="C34" s="26">
        <f>C6+C7+C13+C19+C30+C31</f>
        <v>850104.19</v>
      </c>
      <c r="D34" s="55">
        <f>D6+D7+D13+D19+D30+D31</f>
        <v>506771.89</v>
      </c>
      <c r="E34" s="26">
        <f>E6+E7+E13+E19+E30+E31</f>
        <v>343332.3</v>
      </c>
      <c r="I34" t="s">
        <v>28</v>
      </c>
      <c r="J34" s="26">
        <f>J6+J7+J13+J19+J30+J31</f>
        <v>0</v>
      </c>
      <c r="K34" s="55">
        <f>K6+K7+K13+K19+K30+K31</f>
        <v>19738</v>
      </c>
      <c r="L34" s="26">
        <f>L6+L7+L13+L19+L30+L31</f>
        <v>-19738</v>
      </c>
    </row>
    <row r="35" spans="1:14" x14ac:dyDescent="0.3">
      <c r="C35" s="50"/>
      <c r="D35" s="20"/>
      <c r="J35" s="50"/>
      <c r="K35" s="20"/>
    </row>
    <row r="36" spans="1:14" x14ac:dyDescent="0.3">
      <c r="A36" s="1" t="s">
        <v>53</v>
      </c>
      <c r="C36" s="50"/>
      <c r="D36" s="56" t="s">
        <v>54</v>
      </c>
      <c r="F36" s="2"/>
      <c r="H36" s="1" t="s">
        <v>53</v>
      </c>
      <c r="J36" s="50"/>
      <c r="K36" s="56" t="s">
        <v>54</v>
      </c>
    </row>
    <row r="37" spans="1:14" x14ac:dyDescent="0.3">
      <c r="C37" s="50"/>
      <c r="D37" s="20"/>
      <c r="F37" s="2"/>
      <c r="J37" s="50"/>
      <c r="K37" s="20"/>
    </row>
    <row r="38" spans="1:14" s="28" customFormat="1" x14ac:dyDescent="0.3">
      <c r="D38" s="29"/>
      <c r="F38" s="53"/>
      <c r="K38" s="29"/>
    </row>
    <row r="39" spans="1:14" s="28" customFormat="1" ht="21" x14ac:dyDescent="0.35">
      <c r="A39" s="83"/>
      <c r="B39" s="83"/>
      <c r="C39" s="30"/>
      <c r="D39" s="31"/>
      <c r="E39" s="32"/>
      <c r="F39" s="53"/>
      <c r="H39" s="83"/>
      <c r="I39" s="83"/>
      <c r="J39" s="30"/>
      <c r="K39" s="31"/>
      <c r="L39" s="32"/>
    </row>
    <row r="40" spans="1:14" s="28" customFormat="1" x14ac:dyDescent="0.3">
      <c r="B40" s="27"/>
      <c r="C40" s="33"/>
      <c r="D40" s="34"/>
      <c r="E40" s="35"/>
      <c r="F40" s="53"/>
      <c r="I40" s="27"/>
      <c r="J40" s="33"/>
      <c r="K40" s="34"/>
      <c r="L40" s="35"/>
    </row>
    <row r="41" spans="1:14" s="28" customFormat="1" x14ac:dyDescent="0.3">
      <c r="B41" s="27"/>
      <c r="C41" s="36"/>
      <c r="D41" s="37"/>
      <c r="E41" s="35"/>
      <c r="F41" s="53"/>
      <c r="I41" s="27"/>
      <c r="J41" s="36"/>
      <c r="K41" s="37"/>
      <c r="L41" s="35"/>
    </row>
    <row r="42" spans="1:14" s="28" customFormat="1" x14ac:dyDescent="0.3">
      <c r="B42" s="27"/>
      <c r="C42" s="36"/>
      <c r="D42" s="37"/>
      <c r="E42" s="35"/>
      <c r="F42" s="53"/>
      <c r="I42" s="27"/>
      <c r="J42" s="36"/>
      <c r="K42" s="37"/>
      <c r="L42" s="35"/>
    </row>
    <row r="43" spans="1:14" s="28" customFormat="1" x14ac:dyDescent="0.3">
      <c r="B43" s="27"/>
      <c r="C43" s="36"/>
      <c r="D43" s="37"/>
      <c r="E43" s="35"/>
      <c r="F43" s="53"/>
      <c r="I43" s="27"/>
      <c r="J43" s="36"/>
      <c r="K43" s="37"/>
      <c r="L43" s="35"/>
    </row>
    <row r="44" spans="1:14" s="28" customFormat="1" x14ac:dyDescent="0.3">
      <c r="B44" s="27"/>
      <c r="C44" s="36"/>
      <c r="D44" s="37"/>
      <c r="E44" s="35"/>
      <c r="F44" s="53"/>
      <c r="I44" s="27"/>
      <c r="J44" s="36"/>
      <c r="K44" s="37"/>
      <c r="L44" s="35"/>
    </row>
    <row r="45" spans="1:14" s="28" customFormat="1" x14ac:dyDescent="0.3">
      <c r="B45" s="27"/>
      <c r="C45" s="36"/>
      <c r="D45" s="37"/>
      <c r="E45" s="35"/>
      <c r="F45" s="53"/>
      <c r="I45" s="27"/>
      <c r="J45" s="36"/>
      <c r="K45" s="37"/>
      <c r="L45" s="35"/>
    </row>
    <row r="46" spans="1:14" s="28" customFormat="1" x14ac:dyDescent="0.3">
      <c r="B46" s="27"/>
      <c r="C46" s="36"/>
      <c r="D46" s="37"/>
      <c r="E46" s="35"/>
      <c r="F46" s="53"/>
      <c r="I46" s="27"/>
      <c r="J46" s="36"/>
      <c r="K46" s="37"/>
      <c r="L46" s="35"/>
    </row>
    <row r="47" spans="1:14" s="28" customFormat="1" x14ac:dyDescent="0.3">
      <c r="B47" s="27"/>
      <c r="C47" s="36"/>
      <c r="D47" s="37"/>
      <c r="E47" s="35"/>
      <c r="F47" s="53"/>
      <c r="I47" s="27"/>
      <c r="J47" s="36"/>
      <c r="K47" s="37"/>
      <c r="L47" s="35"/>
    </row>
    <row r="48" spans="1:14" s="28" customFormat="1" x14ac:dyDescent="0.3">
      <c r="B48" s="27"/>
      <c r="C48" s="36"/>
      <c r="D48" s="37"/>
      <c r="E48" s="35"/>
      <c r="F48" s="54"/>
      <c r="I48" s="27"/>
      <c r="J48" s="36"/>
      <c r="K48" s="37"/>
      <c r="L48" s="35"/>
    </row>
    <row r="49" spans="1:12" s="28" customFormat="1" x14ac:dyDescent="0.3">
      <c r="B49" s="27"/>
      <c r="C49" s="36"/>
      <c r="D49" s="37"/>
      <c r="E49" s="35"/>
      <c r="F49" s="53"/>
      <c r="I49" s="27"/>
      <c r="J49" s="36"/>
      <c r="K49" s="37"/>
      <c r="L49" s="35"/>
    </row>
    <row r="50" spans="1:12" s="28" customFormat="1" x14ac:dyDescent="0.3">
      <c r="B50" s="27"/>
      <c r="C50" s="36"/>
      <c r="D50" s="37"/>
      <c r="E50" s="35"/>
      <c r="F50" s="53"/>
      <c r="I50" s="27"/>
      <c r="J50" s="36"/>
      <c r="K50" s="37"/>
      <c r="L50" s="35"/>
    </row>
    <row r="51" spans="1:12" s="28" customFormat="1" x14ac:dyDescent="0.3">
      <c r="B51" s="27"/>
      <c r="C51" s="36"/>
      <c r="D51" s="37"/>
      <c r="E51" s="35"/>
      <c r="F51" s="53"/>
      <c r="I51" s="27"/>
      <c r="J51" s="36"/>
      <c r="K51" s="37"/>
      <c r="L51" s="35"/>
    </row>
    <row r="52" spans="1:12" s="28" customFormat="1" x14ac:dyDescent="0.3">
      <c r="B52" s="27"/>
      <c r="C52" s="36"/>
      <c r="D52" s="37"/>
      <c r="E52" s="35"/>
      <c r="F52" s="53"/>
      <c r="I52" s="27"/>
      <c r="J52" s="36"/>
      <c r="K52" s="37"/>
      <c r="L52" s="35"/>
    </row>
    <row r="53" spans="1:12" s="28" customFormat="1" x14ac:dyDescent="0.3">
      <c r="C53" s="33"/>
      <c r="D53" s="34"/>
      <c r="E53" s="35"/>
      <c r="F53" s="53"/>
      <c r="J53" s="33"/>
      <c r="K53" s="34"/>
      <c r="L53" s="35"/>
    </row>
    <row r="54" spans="1:12" s="28" customFormat="1" x14ac:dyDescent="0.3">
      <c r="C54" s="35"/>
      <c r="D54" s="34"/>
      <c r="E54" s="35"/>
      <c r="F54" s="53"/>
      <c r="J54" s="35"/>
      <c r="K54" s="34"/>
      <c r="L54" s="35"/>
    </row>
    <row r="55" spans="1:12" s="28" customFormat="1" x14ac:dyDescent="0.3">
      <c r="C55" s="35"/>
      <c r="D55" s="34"/>
      <c r="E55" s="35"/>
      <c r="F55" s="53"/>
      <c r="J55" s="35"/>
      <c r="K55" s="34"/>
      <c r="L55" s="35"/>
    </row>
    <row r="56" spans="1:12" s="28" customFormat="1" x14ac:dyDescent="0.3">
      <c r="A56" s="39"/>
      <c r="C56" s="40"/>
      <c r="D56" s="27"/>
      <c r="F56" s="53"/>
      <c r="H56" s="39"/>
      <c r="J56" s="40"/>
      <c r="K56" s="27"/>
    </row>
    <row r="57" spans="1:12" s="28" customFormat="1" x14ac:dyDescent="0.3">
      <c r="C57" s="41"/>
      <c r="D57" s="41"/>
      <c r="F57" s="53"/>
      <c r="J57" s="41"/>
      <c r="K57" s="41"/>
    </row>
    <row r="58" spans="1:12" s="28" customFormat="1" x14ac:dyDescent="0.3">
      <c r="A58" s="38"/>
      <c r="B58" s="27"/>
      <c r="C58" s="27"/>
      <c r="D58" s="27"/>
      <c r="F58" s="53"/>
      <c r="H58" s="38"/>
      <c r="I58" s="27"/>
      <c r="J58" s="27"/>
      <c r="K58" s="27"/>
    </row>
    <row r="59" spans="1:12" s="28" customFormat="1" x14ac:dyDescent="0.3">
      <c r="B59" s="27"/>
      <c r="C59" s="27"/>
      <c r="D59" s="27"/>
      <c r="F59" s="53"/>
      <c r="I59" s="27"/>
      <c r="J59" s="27"/>
      <c r="K59" s="27"/>
    </row>
    <row r="60" spans="1:12" s="28" customFormat="1" x14ac:dyDescent="0.3">
      <c r="B60" s="27"/>
      <c r="C60" s="27"/>
      <c r="D60" s="27"/>
      <c r="F60" s="53"/>
      <c r="I60" s="27"/>
      <c r="J60" s="27"/>
      <c r="K60" s="27"/>
    </row>
    <row r="61" spans="1:12" s="28" customFormat="1" x14ac:dyDescent="0.3">
      <c r="A61" s="38"/>
      <c r="B61" s="27"/>
      <c r="C61" s="27"/>
      <c r="D61" s="27"/>
      <c r="F61" s="53"/>
      <c r="H61" s="38"/>
      <c r="I61" s="27"/>
      <c r="J61" s="27"/>
      <c r="K61" s="27"/>
    </row>
    <row r="62" spans="1:12" s="28" customFormat="1" x14ac:dyDescent="0.3">
      <c r="A62" s="38"/>
      <c r="B62" s="27"/>
      <c r="C62" s="27"/>
      <c r="D62" s="27"/>
      <c r="F62" s="53"/>
      <c r="H62" s="38"/>
      <c r="I62" s="27"/>
      <c r="J62" s="27"/>
      <c r="K62" s="27"/>
    </row>
    <row r="63" spans="1:12" s="28" customFormat="1" x14ac:dyDescent="0.3">
      <c r="A63" s="38"/>
      <c r="B63" s="27"/>
      <c r="C63" s="27"/>
      <c r="D63" s="27"/>
      <c r="F63" s="53"/>
      <c r="H63" s="38"/>
      <c r="I63" s="27"/>
      <c r="J63" s="27"/>
      <c r="K63" s="27"/>
    </row>
    <row r="64" spans="1:12" s="28" customFormat="1" x14ac:dyDescent="0.3">
      <c r="A64" s="38"/>
      <c r="B64" s="27"/>
      <c r="C64" s="27"/>
      <c r="D64" s="27"/>
      <c r="F64" s="53"/>
      <c r="H64" s="38"/>
      <c r="I64" s="27"/>
      <c r="J64" s="27"/>
      <c r="K64" s="27"/>
    </row>
    <row r="65" spans="6:6" s="28" customFormat="1" x14ac:dyDescent="0.3">
      <c r="F65" s="53"/>
    </row>
  </sheetData>
  <mergeCells count="6">
    <mergeCell ref="A5:B5"/>
    <mergeCell ref="H5:I5"/>
    <mergeCell ref="A6:A7"/>
    <mergeCell ref="H6:H7"/>
    <mergeCell ref="A39:B39"/>
    <mergeCell ref="H39:I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10" workbookViewId="0">
      <selection activeCell="C32" sqref="C32"/>
    </sheetView>
  </sheetViews>
  <sheetFormatPr defaultRowHeight="18.75" x14ac:dyDescent="0.3"/>
  <cols>
    <col min="1" max="1" width="28.85546875" customWidth="1"/>
    <col min="2" max="2" width="11.42578125" customWidth="1"/>
    <col min="3" max="3" width="14.28515625" customWidth="1"/>
    <col min="4" max="4" width="15" customWidth="1"/>
    <col min="5" max="5" width="14.5703125" customWidth="1"/>
    <col min="6" max="6" width="11.42578125" style="1" customWidth="1"/>
    <col min="7" max="7" width="10.5703125" bestFit="1" customWidth="1"/>
    <col min="8" max="8" width="28.85546875" customWidth="1"/>
    <col min="9" max="9" width="11.42578125" customWidth="1"/>
    <col min="10" max="10" width="16.140625" customWidth="1"/>
    <col min="11" max="11" width="15" customWidth="1"/>
    <col min="12" max="12" width="14.5703125" customWidth="1"/>
  </cols>
  <sheetData>
    <row r="1" spans="1:12" x14ac:dyDescent="0.3">
      <c r="B1" s="1" t="s">
        <v>56</v>
      </c>
      <c r="D1" s="1"/>
      <c r="I1" s="1" t="s">
        <v>60</v>
      </c>
      <c r="K1" s="1"/>
    </row>
    <row r="2" spans="1:12" x14ac:dyDescent="0.3">
      <c r="B2" s="1" t="s">
        <v>52</v>
      </c>
      <c r="D2" s="1"/>
      <c r="I2" s="1" t="s">
        <v>52</v>
      </c>
      <c r="K2" s="1"/>
    </row>
    <row r="3" spans="1:12" x14ac:dyDescent="0.3">
      <c r="B3" s="1"/>
      <c r="C3" s="1"/>
      <c r="D3" s="1"/>
      <c r="I3" s="1"/>
      <c r="J3" s="1"/>
      <c r="K3" s="1"/>
    </row>
    <row r="4" spans="1:12" ht="19.5" thickBot="1" x14ac:dyDescent="0.35">
      <c r="E4" s="1"/>
      <c r="G4" s="1"/>
      <c r="L4" s="1"/>
    </row>
    <row r="5" spans="1:12" ht="42.75" thickBot="1" x14ac:dyDescent="0.4">
      <c r="A5" s="79" t="s">
        <v>43</v>
      </c>
      <c r="B5" s="80"/>
      <c r="C5" s="8" t="s">
        <v>55</v>
      </c>
      <c r="D5" s="9" t="s">
        <v>66</v>
      </c>
      <c r="E5" s="10" t="s">
        <v>39</v>
      </c>
      <c r="F5" s="2"/>
      <c r="G5" s="2"/>
      <c r="H5" s="79" t="s">
        <v>43</v>
      </c>
      <c r="I5" s="80"/>
      <c r="J5" s="8" t="s">
        <v>55</v>
      </c>
      <c r="K5" s="9" t="s">
        <v>65</v>
      </c>
      <c r="L5" s="10" t="s">
        <v>39</v>
      </c>
    </row>
    <row r="6" spans="1:12" x14ac:dyDescent="0.3">
      <c r="A6" s="81" t="s">
        <v>0</v>
      </c>
      <c r="B6" s="11" t="s">
        <v>1</v>
      </c>
      <c r="C6" s="22">
        <f>549784-30145-1500+27000</f>
        <v>545139</v>
      </c>
      <c r="D6" s="18">
        <f>42312.4+40527.12+39636.72+52141.67+42181.53-74.64+36811.18+36137.16-37.32+45707.36+51263.82</f>
        <v>386607</v>
      </c>
      <c r="E6" s="14">
        <f>C6-D6</f>
        <v>158532</v>
      </c>
      <c r="F6" s="2"/>
      <c r="H6" s="81" t="s">
        <v>0</v>
      </c>
      <c r="I6" s="11" t="s">
        <v>1</v>
      </c>
      <c r="J6" s="59">
        <f>10606.54+1447.4</f>
        <v>12053.94</v>
      </c>
      <c r="K6" s="18">
        <v>10606.54</v>
      </c>
      <c r="L6" s="14">
        <f>J6-K6</f>
        <v>1447.3999999999996</v>
      </c>
    </row>
    <row r="7" spans="1:12" x14ac:dyDescent="0.3">
      <c r="A7" s="82"/>
      <c r="B7" s="3" t="s">
        <v>2</v>
      </c>
      <c r="C7" s="23">
        <f>SUM(C8:C11)</f>
        <v>22500</v>
      </c>
      <c r="D7" s="17">
        <f>SUM(D8:D11)</f>
        <v>11170.099999999999</v>
      </c>
      <c r="E7" s="15">
        <f t="shared" ref="E7:E33" si="0">C7-D7</f>
        <v>11329.900000000001</v>
      </c>
      <c r="F7" s="2"/>
      <c r="G7" s="2"/>
      <c r="H7" s="82"/>
      <c r="I7" s="3" t="s">
        <v>2</v>
      </c>
      <c r="J7" s="23"/>
      <c r="K7" s="17">
        <f>SUM(K8:K11)</f>
        <v>0</v>
      </c>
      <c r="L7" s="15">
        <f t="shared" ref="L7:L11" si="1">J7-K7</f>
        <v>0</v>
      </c>
    </row>
    <row r="8" spans="1:12" x14ac:dyDescent="0.3">
      <c r="A8" s="7" t="s">
        <v>3</v>
      </c>
      <c r="B8" s="4" t="s">
        <v>4</v>
      </c>
      <c r="C8" s="24">
        <v>2000</v>
      </c>
      <c r="D8" s="19"/>
      <c r="E8" s="16">
        <f t="shared" si="0"/>
        <v>2000</v>
      </c>
      <c r="H8" s="7" t="s">
        <v>3</v>
      </c>
      <c r="I8" s="4" t="s">
        <v>4</v>
      </c>
      <c r="J8" s="24"/>
      <c r="K8" s="19"/>
      <c r="L8" s="16">
        <f t="shared" si="1"/>
        <v>0</v>
      </c>
    </row>
    <row r="9" spans="1:12" x14ac:dyDescent="0.3">
      <c r="A9" s="7" t="s">
        <v>5</v>
      </c>
      <c r="B9" s="4" t="s">
        <v>6</v>
      </c>
      <c r="C9" s="24">
        <v>18000</v>
      </c>
      <c r="D9" s="19">
        <f>787.16+787.16+787.16+763.15+763.15+763.15+763.15+716.16+716.16</f>
        <v>6846.4</v>
      </c>
      <c r="E9" s="16">
        <f t="shared" si="0"/>
        <v>11153.6</v>
      </c>
      <c r="F9" s="2"/>
      <c r="G9" s="2"/>
      <c r="H9" s="7" t="s">
        <v>5</v>
      </c>
      <c r="I9" s="4" t="s">
        <v>6</v>
      </c>
      <c r="J9" s="24"/>
      <c r="K9" s="19"/>
      <c r="L9" s="16">
        <f t="shared" si="1"/>
        <v>0</v>
      </c>
    </row>
    <row r="10" spans="1:12" x14ac:dyDescent="0.3">
      <c r="A10" s="7" t="s">
        <v>7</v>
      </c>
      <c r="B10" s="4" t="s">
        <v>8</v>
      </c>
      <c r="C10" s="21"/>
      <c r="D10" s="19">
        <v>2114.64</v>
      </c>
      <c r="E10" s="16">
        <f t="shared" si="0"/>
        <v>-2114.64</v>
      </c>
      <c r="F10" s="2"/>
      <c r="G10" s="2"/>
      <c r="H10" s="7" t="s">
        <v>7</v>
      </c>
      <c r="I10" s="4" t="s">
        <v>8</v>
      </c>
      <c r="J10" s="21"/>
      <c r="K10" s="19"/>
      <c r="L10" s="16">
        <f t="shared" si="1"/>
        <v>0</v>
      </c>
    </row>
    <row r="11" spans="1:12" x14ac:dyDescent="0.3">
      <c r="A11" s="7" t="s">
        <v>9</v>
      </c>
      <c r="B11" s="4" t="s">
        <v>10</v>
      </c>
      <c r="C11" s="24">
        <v>2500</v>
      </c>
      <c r="D11" s="19">
        <f>406.1+711.39+422.5+166.96+264.93+237.18</f>
        <v>2209.06</v>
      </c>
      <c r="E11" s="16">
        <f t="shared" si="0"/>
        <v>290.94000000000005</v>
      </c>
      <c r="F11" s="2"/>
      <c r="G11" s="2"/>
      <c r="H11" s="7" t="s">
        <v>9</v>
      </c>
      <c r="I11" s="4" t="s">
        <v>10</v>
      </c>
      <c r="J11" s="24"/>
      <c r="K11" s="19"/>
      <c r="L11" s="16">
        <f t="shared" si="1"/>
        <v>0</v>
      </c>
    </row>
    <row r="12" spans="1:12" x14ac:dyDescent="0.3">
      <c r="A12" s="7"/>
      <c r="B12" s="4"/>
      <c r="C12" s="24"/>
      <c r="D12" s="19"/>
      <c r="E12" s="16"/>
      <c r="H12" s="7"/>
      <c r="I12" s="4"/>
      <c r="J12" s="24"/>
      <c r="K12" s="19"/>
      <c r="L12" s="16"/>
    </row>
    <row r="13" spans="1:12" ht="21" x14ac:dyDescent="0.35">
      <c r="A13" s="7" t="s">
        <v>11</v>
      </c>
      <c r="B13" s="3" t="s">
        <v>12</v>
      </c>
      <c r="C13" s="23">
        <f>SUM(C14:C17)</f>
        <v>127500</v>
      </c>
      <c r="D13" s="23">
        <f>SUM(D14:D17)</f>
        <v>89008.48000000001</v>
      </c>
      <c r="E13" s="15">
        <f>C13-D13</f>
        <v>38491.51999999999</v>
      </c>
      <c r="G13" s="5"/>
      <c r="H13" s="7" t="s">
        <v>11</v>
      </c>
      <c r="I13" s="3" t="s">
        <v>12</v>
      </c>
      <c r="J13" s="58">
        <f>J14+J15+J16+J17</f>
        <v>2791.85</v>
      </c>
      <c r="K13" s="58">
        <f>SUM(K14:K17)</f>
        <v>2473.46</v>
      </c>
      <c r="L13" s="15">
        <f>J13-K13</f>
        <v>318.38999999999987</v>
      </c>
    </row>
    <row r="14" spans="1:12" ht="21" x14ac:dyDescent="0.35">
      <c r="A14" s="7" t="s">
        <v>13</v>
      </c>
      <c r="B14" s="4" t="s">
        <v>14</v>
      </c>
      <c r="C14" s="24">
        <v>68000</v>
      </c>
      <c r="D14" s="19">
        <f>5169.86+4998.13+4840.13+6224.9+4991.89+4469.06+3805.92+5369.22+5840.33</f>
        <v>45709.440000000002</v>
      </c>
      <c r="E14" s="16">
        <f>C14-D14</f>
        <v>22290.559999999998</v>
      </c>
      <c r="G14" s="5"/>
      <c r="H14" s="7" t="s">
        <v>13</v>
      </c>
      <c r="I14" s="4" t="s">
        <v>14</v>
      </c>
      <c r="J14" s="60">
        <f>1256.22+165.3</f>
        <v>1421.52</v>
      </c>
      <c r="K14" s="19">
        <v>1256.24</v>
      </c>
      <c r="L14" s="16">
        <f>J14-K14</f>
        <v>165.27999999999997</v>
      </c>
    </row>
    <row r="15" spans="1:12" ht="21" x14ac:dyDescent="0.35">
      <c r="A15" s="7" t="s">
        <v>15</v>
      </c>
      <c r="B15" s="4" t="s">
        <v>16</v>
      </c>
      <c r="C15" s="24">
        <v>20000</v>
      </c>
      <c r="D15" s="19">
        <f>1683.83+1636.44+1586.23+2022.36+1647.03+1503.6+1307.82+1791.82+1925.02</f>
        <v>15104.15</v>
      </c>
      <c r="E15" s="16">
        <f>C15-D15</f>
        <v>4895.8500000000004</v>
      </c>
      <c r="G15" s="6"/>
      <c r="H15" s="7" t="s">
        <v>15</v>
      </c>
      <c r="I15" s="4" t="s">
        <v>16</v>
      </c>
      <c r="J15" s="60">
        <f>456.08+43.1</f>
        <v>499.18</v>
      </c>
      <c r="K15" s="19">
        <v>456.08</v>
      </c>
      <c r="L15" s="16">
        <f>J15-K15</f>
        <v>43.100000000000023</v>
      </c>
    </row>
    <row r="16" spans="1:12" x14ac:dyDescent="0.3">
      <c r="A16" s="7" t="s">
        <v>17</v>
      </c>
      <c r="B16" s="4" t="s">
        <v>18</v>
      </c>
      <c r="C16" s="24">
        <v>27000</v>
      </c>
      <c r="D16" s="19">
        <f>2114.69+2081.33+2055.75+2532.53+2024.85+1923.37+1654.13+2299.16+2469.49</f>
        <v>19155.300000000003</v>
      </c>
      <c r="E16" s="16">
        <f t="shared" ref="E16:E17" si="2">C16-D16</f>
        <v>7844.6999999999971</v>
      </c>
      <c r="H16" s="7" t="s">
        <v>17</v>
      </c>
      <c r="I16" s="4" t="s">
        <v>18</v>
      </c>
      <c r="J16" s="60">
        <f>509.11+69.48</f>
        <v>578.59</v>
      </c>
      <c r="K16" s="19">
        <v>509.11</v>
      </c>
      <c r="L16" s="16">
        <f t="shared" ref="L16:L17" si="3">J16-K16</f>
        <v>69.480000000000018</v>
      </c>
    </row>
    <row r="17" spans="1:15" x14ac:dyDescent="0.3">
      <c r="A17" s="7" t="s">
        <v>19</v>
      </c>
      <c r="B17" s="4" t="s">
        <v>20</v>
      </c>
      <c r="C17" s="24">
        <v>12500</v>
      </c>
      <c r="D17" s="19">
        <f>974.32+940.44+931.6+1163.16+908.93+884.03+829.13+1176.79+1231.19</f>
        <v>9039.59</v>
      </c>
      <c r="E17" s="16">
        <f t="shared" si="2"/>
        <v>3460.41</v>
      </c>
      <c r="H17" s="7" t="s">
        <v>19</v>
      </c>
      <c r="I17" s="4" t="s">
        <v>20</v>
      </c>
      <c r="J17" s="60">
        <f>252.03+40.53</f>
        <v>292.56</v>
      </c>
      <c r="K17" s="19">
        <v>252.03</v>
      </c>
      <c r="L17" s="16">
        <f t="shared" si="3"/>
        <v>40.53</v>
      </c>
    </row>
    <row r="18" spans="1:15" x14ac:dyDescent="0.3">
      <c r="A18" s="47"/>
      <c r="B18" s="4"/>
      <c r="C18" s="24"/>
      <c r="D18" s="19"/>
      <c r="E18" s="16"/>
      <c r="H18" s="47"/>
      <c r="I18" s="4"/>
      <c r="J18" s="24"/>
      <c r="K18" s="19"/>
      <c r="L18" s="16"/>
    </row>
    <row r="19" spans="1:15" x14ac:dyDescent="0.3">
      <c r="A19" s="48" t="s">
        <v>40</v>
      </c>
      <c r="B19" s="4" t="s">
        <v>29</v>
      </c>
      <c r="C19" s="24">
        <f>SUM(C20:C29)</f>
        <v>155268.19</v>
      </c>
      <c r="D19" s="17">
        <f>SUM(D20:D29)</f>
        <v>86722.32</v>
      </c>
      <c r="E19" s="15">
        <f t="shared" si="0"/>
        <v>68545.87</v>
      </c>
      <c r="F19" s="52"/>
      <c r="H19" s="48" t="s">
        <v>40</v>
      </c>
      <c r="I19" s="4" t="s">
        <v>29</v>
      </c>
      <c r="J19" s="24">
        <v>6540</v>
      </c>
      <c r="K19" s="17">
        <f>SUM(K20:K29)</f>
        <v>6538</v>
      </c>
      <c r="L19" s="15">
        <f t="shared" ref="L19:L20" si="4">J19-K19</f>
        <v>2</v>
      </c>
    </row>
    <row r="20" spans="1:15" x14ac:dyDescent="0.3">
      <c r="A20" s="43" t="s">
        <v>21</v>
      </c>
      <c r="B20" s="44" t="s">
        <v>22</v>
      </c>
      <c r="C20" s="45">
        <v>40000</v>
      </c>
      <c r="D20" s="49">
        <f>4034+3509+3792+3943.5+3321+1978.5+464+499.5+1623</f>
        <v>23164.5</v>
      </c>
      <c r="E20" s="16">
        <f t="shared" si="0"/>
        <v>16835.5</v>
      </c>
      <c r="H20" s="43" t="s">
        <v>21</v>
      </c>
      <c r="I20" s="44" t="s">
        <v>22</v>
      </c>
      <c r="J20" s="45"/>
      <c r="K20" s="49"/>
      <c r="L20" s="16">
        <f t="shared" si="4"/>
        <v>0</v>
      </c>
    </row>
    <row r="21" spans="1:15" x14ac:dyDescent="0.3">
      <c r="A21" s="43" t="s">
        <v>41</v>
      </c>
      <c r="B21" s="44" t="s">
        <v>30</v>
      </c>
      <c r="C21" s="45"/>
      <c r="D21" s="46"/>
      <c r="E21" s="15"/>
      <c r="H21" s="43" t="s">
        <v>41</v>
      </c>
      <c r="I21" s="44" t="s">
        <v>30</v>
      </c>
      <c r="J21" s="45"/>
      <c r="K21" s="46"/>
      <c r="L21" s="15"/>
    </row>
    <row r="22" spans="1:15" x14ac:dyDescent="0.3">
      <c r="A22" s="43" t="s">
        <v>42</v>
      </c>
      <c r="B22" s="44" t="s">
        <v>31</v>
      </c>
      <c r="C22" s="45">
        <v>1000</v>
      </c>
      <c r="D22" s="49"/>
      <c r="E22" s="16">
        <f t="shared" si="0"/>
        <v>1000</v>
      </c>
      <c r="H22" s="43" t="s">
        <v>42</v>
      </c>
      <c r="I22" s="44" t="s">
        <v>31</v>
      </c>
      <c r="J22" s="45"/>
      <c r="K22" s="49"/>
      <c r="L22" s="16">
        <f t="shared" ref="L22:L23" si="5">J22-K22</f>
        <v>0</v>
      </c>
    </row>
    <row r="23" spans="1:15" x14ac:dyDescent="0.3">
      <c r="A23" s="7" t="s">
        <v>23</v>
      </c>
      <c r="B23" s="12" t="s">
        <v>24</v>
      </c>
      <c r="C23" s="21">
        <v>8171.4</v>
      </c>
      <c r="D23" s="19">
        <v>8171.4</v>
      </c>
      <c r="E23" s="16">
        <f t="shared" si="0"/>
        <v>0</v>
      </c>
      <c r="H23" s="7" t="s">
        <v>23</v>
      </c>
      <c r="I23" s="12" t="s">
        <v>24</v>
      </c>
      <c r="J23" s="21"/>
      <c r="K23" s="19"/>
      <c r="L23" s="16">
        <f t="shared" si="5"/>
        <v>0</v>
      </c>
    </row>
    <row r="24" spans="1:15" x14ac:dyDescent="0.3">
      <c r="A24" s="7" t="s">
        <v>32</v>
      </c>
      <c r="B24" s="12" t="s">
        <v>33</v>
      </c>
      <c r="C24" s="24">
        <f>15000+22458</f>
        <v>37458</v>
      </c>
      <c r="D24" s="19">
        <f>688+323.4+1373.4+858+239.38+1458.38-120-162+794+1187.03+486</f>
        <v>7125.59</v>
      </c>
      <c r="E24" s="16">
        <f>C24-D24</f>
        <v>30332.41</v>
      </c>
      <c r="H24" s="7" t="s">
        <v>32</v>
      </c>
      <c r="I24" s="12" t="s">
        <v>33</v>
      </c>
      <c r="J24" s="24">
        <v>6540</v>
      </c>
      <c r="K24" s="19">
        <f>282+6376-120</f>
        <v>6538</v>
      </c>
      <c r="L24" s="16">
        <f>J24-K24</f>
        <v>2</v>
      </c>
      <c r="O24" s="57">
        <f>6540-K24</f>
        <v>2</v>
      </c>
    </row>
    <row r="25" spans="1:15" x14ac:dyDescent="0.3">
      <c r="A25" s="7" t="s">
        <v>34</v>
      </c>
      <c r="B25" s="4" t="s">
        <v>35</v>
      </c>
      <c r="C25" s="24">
        <v>20000</v>
      </c>
      <c r="D25" s="19">
        <f>234.8+293.18+298.57+191.75+243.66+182.85+163.52+10620.31+102.42+33.55</f>
        <v>12364.609999999999</v>
      </c>
      <c r="E25" s="16">
        <f>C25-D25</f>
        <v>7635.3900000000012</v>
      </c>
      <c r="H25" s="7" t="s">
        <v>34</v>
      </c>
      <c r="I25" s="4" t="s">
        <v>35</v>
      </c>
      <c r="J25" s="24"/>
      <c r="K25" s="19"/>
      <c r="L25" s="16">
        <f>J25-K25</f>
        <v>0</v>
      </c>
    </row>
    <row r="26" spans="1:15" x14ac:dyDescent="0.3">
      <c r="A26" s="42" t="s">
        <v>44</v>
      </c>
      <c r="B26" s="12" t="s">
        <v>25</v>
      </c>
      <c r="C26" s="24">
        <f>20000+3191.71+11000+2344.08+603</f>
        <v>37138.79</v>
      </c>
      <c r="D26" s="19">
        <f>1793.47+1761.94+1970.64+4619.57+2074.24+5054.83+14603.58+357.71+1758.79+1079.45</f>
        <v>35074.219999999994</v>
      </c>
      <c r="E26" s="15">
        <f t="shared" si="0"/>
        <v>2064.570000000007</v>
      </c>
      <c r="H26" s="42" t="s">
        <v>44</v>
      </c>
      <c r="I26" s="12" t="s">
        <v>25</v>
      </c>
      <c r="J26" s="24"/>
      <c r="K26" s="19"/>
      <c r="L26" s="15">
        <f t="shared" ref="L26:L28" si="6">J26-K26</f>
        <v>0</v>
      </c>
    </row>
    <row r="27" spans="1:15" x14ac:dyDescent="0.3">
      <c r="A27" s="42" t="s">
        <v>36</v>
      </c>
      <c r="B27" s="12" t="s">
        <v>37</v>
      </c>
      <c r="C27" s="24">
        <v>10000</v>
      </c>
      <c r="D27" s="19"/>
      <c r="E27" s="16">
        <f t="shared" si="0"/>
        <v>10000</v>
      </c>
      <c r="H27" s="42" t="s">
        <v>36</v>
      </c>
      <c r="I27" s="12" t="s">
        <v>37</v>
      </c>
      <c r="J27" s="24"/>
      <c r="K27" s="19"/>
      <c r="L27" s="16">
        <f t="shared" si="6"/>
        <v>0</v>
      </c>
    </row>
    <row r="28" spans="1:15" x14ac:dyDescent="0.3">
      <c r="A28" s="42" t="s">
        <v>45</v>
      </c>
      <c r="B28" s="12" t="s">
        <v>38</v>
      </c>
      <c r="C28" s="24">
        <v>1500</v>
      </c>
      <c r="D28" s="19">
        <f>100+40+120+100+138+206+50+68</f>
        <v>822</v>
      </c>
      <c r="E28" s="16">
        <f t="shared" si="0"/>
        <v>678</v>
      </c>
      <c r="H28" s="42" t="s">
        <v>45</v>
      </c>
      <c r="I28" s="12" t="s">
        <v>38</v>
      </c>
      <c r="J28" s="24"/>
      <c r="K28" s="19"/>
      <c r="L28" s="16">
        <f t="shared" si="6"/>
        <v>0</v>
      </c>
      <c r="N28">
        <v>1765.8</v>
      </c>
      <c r="O28" t="s">
        <v>67</v>
      </c>
    </row>
    <row r="29" spans="1:15" x14ac:dyDescent="0.3">
      <c r="A29" s="42" t="s">
        <v>46</v>
      </c>
      <c r="B29" s="12" t="s">
        <v>49</v>
      </c>
      <c r="C29" s="24"/>
      <c r="D29" s="19"/>
      <c r="E29" s="16"/>
      <c r="H29" s="42" t="s">
        <v>46</v>
      </c>
      <c r="I29" s="12" t="s">
        <v>49</v>
      </c>
      <c r="J29" s="24"/>
      <c r="K29" s="19"/>
      <c r="L29" s="16"/>
    </row>
    <row r="30" spans="1:15" x14ac:dyDescent="0.3">
      <c r="A30" s="42" t="s">
        <v>47</v>
      </c>
      <c r="B30" s="12" t="s">
        <v>50</v>
      </c>
      <c r="C30" s="24">
        <v>300</v>
      </c>
      <c r="D30" s="19">
        <v>214.97</v>
      </c>
      <c r="E30" s="16">
        <f t="shared" si="0"/>
        <v>85.03</v>
      </c>
      <c r="H30" s="42" t="s">
        <v>47</v>
      </c>
      <c r="I30" s="12" t="s">
        <v>50</v>
      </c>
      <c r="J30" s="24"/>
      <c r="K30" s="19"/>
      <c r="L30" s="16">
        <f t="shared" ref="L30:L33" si="7">J30-K30</f>
        <v>0</v>
      </c>
    </row>
    <row r="31" spans="1:15" x14ac:dyDescent="0.3">
      <c r="A31" s="7" t="s">
        <v>48</v>
      </c>
      <c r="B31" s="12" t="s">
        <v>51</v>
      </c>
      <c r="C31" s="24"/>
      <c r="D31" s="19"/>
      <c r="E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7"/>
        <v>0</v>
      </c>
    </row>
    <row r="32" spans="1:15" x14ac:dyDescent="0.3">
      <c r="A32" s="13" t="s">
        <v>26</v>
      </c>
      <c r="B32" s="12" t="s">
        <v>27</v>
      </c>
      <c r="C32" s="25">
        <f>15044-603</f>
        <v>14441</v>
      </c>
      <c r="D32" s="19"/>
      <c r="E32" s="16">
        <f t="shared" si="0"/>
        <v>14441</v>
      </c>
      <c r="H32" s="13" t="s">
        <v>61</v>
      </c>
      <c r="I32" s="12" t="s">
        <v>62</v>
      </c>
      <c r="J32" s="25">
        <f>10301+5430+5656</f>
        <v>21387</v>
      </c>
      <c r="K32" s="19"/>
      <c r="L32" s="16">
        <f t="shared" si="7"/>
        <v>21387</v>
      </c>
    </row>
    <row r="33" spans="1:14" x14ac:dyDescent="0.3">
      <c r="C33" s="24"/>
      <c r="D33" s="19"/>
      <c r="E33" s="16">
        <f t="shared" si="0"/>
        <v>0</v>
      </c>
      <c r="J33" s="24"/>
      <c r="K33" s="19"/>
      <c r="L33" s="16">
        <f t="shared" si="7"/>
        <v>0</v>
      </c>
      <c r="N33" s="57">
        <f>L32-K34</f>
        <v>1769</v>
      </c>
    </row>
    <row r="34" spans="1:14" x14ac:dyDescent="0.3">
      <c r="B34" t="s">
        <v>28</v>
      </c>
      <c r="C34" s="26">
        <f>C6+C7+C13+C19+C30+C31</f>
        <v>850707.19</v>
      </c>
      <c r="D34" s="55">
        <f>D6+D7+D13+D19+D30+D31</f>
        <v>573722.86999999988</v>
      </c>
      <c r="E34" s="26">
        <f>E6+E7+E13+E19+E30+E31</f>
        <v>276984.32000000001</v>
      </c>
      <c r="I34" t="s">
        <v>28</v>
      </c>
      <c r="J34" s="55">
        <f>J6+J7+J13+J19+J30+J31</f>
        <v>21385.79</v>
      </c>
      <c r="K34" s="55">
        <f>K6+K7+K13+K19+K30+K31</f>
        <v>19618</v>
      </c>
      <c r="L34" s="55">
        <f>L6+L7+L13+L19+L30+L31</f>
        <v>1767.7899999999995</v>
      </c>
    </row>
    <row r="35" spans="1:14" x14ac:dyDescent="0.3">
      <c r="C35" s="50"/>
      <c r="D35" s="20"/>
      <c r="J35" s="50"/>
      <c r="K35" s="20"/>
    </row>
    <row r="36" spans="1:14" x14ac:dyDescent="0.3">
      <c r="A36" s="1" t="s">
        <v>53</v>
      </c>
      <c r="C36" s="50"/>
      <c r="D36" s="56" t="s">
        <v>54</v>
      </c>
      <c r="F36" s="2"/>
      <c r="H36" s="1" t="s">
        <v>53</v>
      </c>
      <c r="J36" s="50"/>
      <c r="K36" s="56" t="s">
        <v>54</v>
      </c>
      <c r="N36" s="57">
        <f>N33-N28</f>
        <v>3.2000000000000455</v>
      </c>
    </row>
    <row r="37" spans="1:14" x14ac:dyDescent="0.3">
      <c r="C37" s="50"/>
      <c r="D37" s="20"/>
      <c r="F37" s="2"/>
      <c r="J37" s="50"/>
      <c r="K37" s="20"/>
    </row>
    <row r="38" spans="1:14" s="28" customFormat="1" x14ac:dyDescent="0.3">
      <c r="D38" s="29"/>
      <c r="F38" s="53"/>
      <c r="K38" s="29"/>
    </row>
    <row r="39" spans="1:14" s="28" customFormat="1" ht="21" x14ac:dyDescent="0.35">
      <c r="A39" s="83"/>
      <c r="B39" s="83"/>
      <c r="C39" s="30"/>
      <c r="D39" s="31"/>
      <c r="E39" s="32"/>
      <c r="F39" s="53"/>
      <c r="H39" s="83"/>
      <c r="I39" s="83"/>
      <c r="J39" s="30"/>
      <c r="K39" s="31"/>
      <c r="L39" s="32"/>
    </row>
    <row r="40" spans="1:14" s="28" customFormat="1" x14ac:dyDescent="0.3">
      <c r="B40" s="27"/>
      <c r="C40" s="33"/>
      <c r="D40" s="34"/>
      <c r="E40" s="35"/>
      <c r="F40" s="53"/>
      <c r="I40" s="27"/>
      <c r="J40" s="33"/>
      <c r="K40" s="34"/>
      <c r="L40" s="35"/>
    </row>
    <row r="41" spans="1:14" s="28" customFormat="1" x14ac:dyDescent="0.3">
      <c r="B41" s="27"/>
      <c r="C41" s="36"/>
      <c r="D41" s="37"/>
      <c r="E41" s="35"/>
      <c r="F41" s="53"/>
      <c r="I41" s="27"/>
      <c r="J41" s="36"/>
      <c r="K41" s="37"/>
      <c r="L41" s="35"/>
    </row>
    <row r="42" spans="1:14" s="28" customFormat="1" x14ac:dyDescent="0.3">
      <c r="B42" s="27"/>
      <c r="C42" s="36"/>
      <c r="D42" s="37"/>
      <c r="E42" s="35"/>
      <c r="F42" s="53"/>
      <c r="I42" s="27"/>
      <c r="J42" s="36"/>
      <c r="K42" s="37"/>
      <c r="L42" s="35"/>
    </row>
    <row r="43" spans="1:14" s="28" customFormat="1" x14ac:dyDescent="0.3">
      <c r="B43" s="27"/>
      <c r="C43" s="36"/>
      <c r="D43" s="37"/>
      <c r="E43" s="35"/>
      <c r="F43" s="53"/>
      <c r="I43" s="27"/>
      <c r="J43" s="36"/>
      <c r="K43" s="37"/>
      <c r="L43" s="35"/>
    </row>
    <row r="44" spans="1:14" s="28" customFormat="1" x14ac:dyDescent="0.3">
      <c r="B44" s="27"/>
      <c r="C44" s="36"/>
      <c r="D44" s="37"/>
      <c r="E44" s="35"/>
      <c r="F44" s="53"/>
      <c r="I44" s="27"/>
      <c r="J44" s="36"/>
      <c r="K44" s="37"/>
      <c r="L44" s="35"/>
    </row>
    <row r="45" spans="1:14" s="28" customFormat="1" x14ac:dyDescent="0.3">
      <c r="B45" s="27"/>
      <c r="C45" s="36"/>
      <c r="D45" s="37"/>
      <c r="E45" s="35"/>
      <c r="F45" s="53"/>
      <c r="I45" s="27"/>
      <c r="J45" s="36"/>
      <c r="K45" s="37"/>
      <c r="L45" s="35"/>
    </row>
    <row r="46" spans="1:14" s="28" customFormat="1" x14ac:dyDescent="0.3">
      <c r="B46" s="27"/>
      <c r="C46" s="36"/>
      <c r="D46" s="37"/>
      <c r="E46" s="35"/>
      <c r="F46" s="53"/>
      <c r="I46" s="27"/>
      <c r="J46" s="36"/>
      <c r="K46" s="37"/>
      <c r="L46" s="35"/>
    </row>
    <row r="47" spans="1:14" s="28" customFormat="1" x14ac:dyDescent="0.3">
      <c r="B47" s="27"/>
      <c r="C47" s="36"/>
      <c r="D47" s="37"/>
      <c r="E47" s="35"/>
      <c r="F47" s="53"/>
      <c r="I47" s="27"/>
      <c r="J47" s="36"/>
      <c r="K47" s="37"/>
      <c r="L47" s="35"/>
    </row>
    <row r="48" spans="1:14" s="28" customFormat="1" x14ac:dyDescent="0.3">
      <c r="B48" s="27"/>
      <c r="C48" s="36"/>
      <c r="D48" s="37"/>
      <c r="E48" s="35"/>
      <c r="F48" s="54"/>
      <c r="I48" s="27"/>
      <c r="J48" s="36"/>
      <c r="K48" s="37"/>
      <c r="L48" s="35"/>
    </row>
    <row r="49" spans="1:12" s="28" customFormat="1" x14ac:dyDescent="0.3">
      <c r="B49" s="27"/>
      <c r="C49" s="36"/>
      <c r="D49" s="37"/>
      <c r="E49" s="35"/>
      <c r="F49" s="53"/>
      <c r="I49" s="27"/>
      <c r="J49" s="36"/>
      <c r="K49" s="37"/>
      <c r="L49" s="35"/>
    </row>
    <row r="50" spans="1:12" s="28" customFormat="1" x14ac:dyDescent="0.3">
      <c r="B50" s="27"/>
      <c r="C50" s="36"/>
      <c r="D50" s="37"/>
      <c r="E50" s="35"/>
      <c r="F50" s="53"/>
      <c r="I50" s="27"/>
      <c r="J50" s="36"/>
      <c r="K50" s="37"/>
      <c r="L50" s="35"/>
    </row>
    <row r="51" spans="1:12" s="28" customFormat="1" x14ac:dyDescent="0.3">
      <c r="B51" s="27"/>
      <c r="C51" s="36"/>
      <c r="D51" s="37"/>
      <c r="E51" s="35"/>
      <c r="F51" s="53"/>
      <c r="I51" s="27"/>
      <c r="J51" s="36"/>
      <c r="K51" s="37"/>
      <c r="L51" s="35"/>
    </row>
    <row r="52" spans="1:12" s="28" customFormat="1" x14ac:dyDescent="0.3">
      <c r="B52" s="27"/>
      <c r="C52" s="36"/>
      <c r="D52" s="37"/>
      <c r="E52" s="35"/>
      <c r="F52" s="53"/>
      <c r="I52" s="27"/>
      <c r="J52" s="36"/>
      <c r="K52" s="37"/>
      <c r="L52" s="35"/>
    </row>
    <row r="53" spans="1:12" s="28" customFormat="1" x14ac:dyDescent="0.3">
      <c r="C53" s="33"/>
      <c r="D53" s="34"/>
      <c r="E53" s="35"/>
      <c r="F53" s="53"/>
      <c r="J53" s="33"/>
      <c r="K53" s="34"/>
      <c r="L53" s="35"/>
    </row>
    <row r="54" spans="1:12" s="28" customFormat="1" x14ac:dyDescent="0.3">
      <c r="C54" s="35"/>
      <c r="D54" s="34"/>
      <c r="E54" s="35"/>
      <c r="F54" s="53"/>
      <c r="J54" s="35"/>
      <c r="K54" s="34"/>
      <c r="L54" s="35"/>
    </row>
    <row r="55" spans="1:12" s="28" customFormat="1" x14ac:dyDescent="0.3">
      <c r="C55" s="35"/>
      <c r="D55" s="34"/>
      <c r="E55" s="35"/>
      <c r="F55" s="53"/>
      <c r="J55" s="35"/>
      <c r="K55" s="34"/>
      <c r="L55" s="35"/>
    </row>
    <row r="56" spans="1:12" s="28" customFormat="1" x14ac:dyDescent="0.3">
      <c r="A56" s="39"/>
      <c r="C56" s="40"/>
      <c r="D56" s="27"/>
      <c r="F56" s="53"/>
      <c r="H56" s="39"/>
      <c r="J56" s="40"/>
      <c r="K56" s="27"/>
    </row>
    <row r="57" spans="1:12" s="28" customFormat="1" x14ac:dyDescent="0.3">
      <c r="C57" s="41"/>
      <c r="D57" s="41"/>
      <c r="F57" s="53"/>
      <c r="J57" s="41"/>
      <c r="K57" s="41"/>
    </row>
    <row r="58" spans="1:12" s="28" customFormat="1" x14ac:dyDescent="0.3">
      <c r="A58" s="38"/>
      <c r="B58" s="27"/>
      <c r="C58" s="27"/>
      <c r="D58" s="27"/>
      <c r="F58" s="53"/>
      <c r="H58" s="38"/>
      <c r="I58" s="27"/>
      <c r="J58" s="27"/>
      <c r="K58" s="27"/>
    </row>
    <row r="59" spans="1:12" s="28" customFormat="1" x14ac:dyDescent="0.3">
      <c r="B59" s="27"/>
      <c r="C59" s="27"/>
      <c r="D59" s="27"/>
      <c r="F59" s="53"/>
      <c r="I59" s="27"/>
      <c r="J59" s="27"/>
      <c r="K59" s="27"/>
    </row>
    <row r="60" spans="1:12" s="28" customFormat="1" x14ac:dyDescent="0.3">
      <c r="B60" s="27"/>
      <c r="C60" s="27"/>
      <c r="D60" s="27"/>
      <c r="F60" s="53"/>
      <c r="I60" s="27"/>
      <c r="J60" s="27"/>
      <c r="K60" s="27"/>
    </row>
    <row r="61" spans="1:12" s="28" customFormat="1" x14ac:dyDescent="0.3">
      <c r="A61" s="38"/>
      <c r="B61" s="27"/>
      <c r="C61" s="27"/>
      <c r="D61" s="27"/>
      <c r="F61" s="53"/>
      <c r="H61" s="38"/>
      <c r="I61" s="27"/>
      <c r="J61" s="27"/>
      <c r="K61" s="27"/>
    </row>
    <row r="62" spans="1:12" s="28" customFormat="1" x14ac:dyDescent="0.3">
      <c r="A62" s="38"/>
      <c r="B62" s="27"/>
      <c r="C62" s="27"/>
      <c r="D62" s="27"/>
      <c r="F62" s="53"/>
      <c r="H62" s="38"/>
      <c r="I62" s="27"/>
      <c r="J62" s="27"/>
      <c r="K62" s="27"/>
    </row>
    <row r="63" spans="1:12" s="28" customFormat="1" x14ac:dyDescent="0.3">
      <c r="A63" s="38"/>
      <c r="B63" s="27"/>
      <c r="C63" s="27"/>
      <c r="D63" s="27"/>
      <c r="F63" s="53"/>
      <c r="H63" s="38"/>
      <c r="I63" s="27"/>
      <c r="J63" s="27"/>
      <c r="K63" s="27"/>
    </row>
    <row r="64" spans="1:12" s="28" customFormat="1" x14ac:dyDescent="0.3">
      <c r="A64" s="38"/>
      <c r="B64" s="27"/>
      <c r="C64" s="27"/>
      <c r="D64" s="27"/>
      <c r="F64" s="53"/>
      <c r="H64" s="38"/>
      <c r="I64" s="27"/>
      <c r="J64" s="27"/>
      <c r="K64" s="27"/>
    </row>
    <row r="65" spans="6:6" s="28" customFormat="1" x14ac:dyDescent="0.3">
      <c r="F65" s="53"/>
    </row>
  </sheetData>
  <mergeCells count="6">
    <mergeCell ref="A5:B5"/>
    <mergeCell ref="H5:I5"/>
    <mergeCell ref="A6:A7"/>
    <mergeCell ref="H6:H7"/>
    <mergeCell ref="A39:B39"/>
    <mergeCell ref="H39:I3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16" workbookViewId="0">
      <selection activeCell="C32" sqref="C32"/>
    </sheetView>
  </sheetViews>
  <sheetFormatPr defaultRowHeight="18.75" x14ac:dyDescent="0.3"/>
  <cols>
    <col min="1" max="1" width="28.85546875" customWidth="1"/>
    <col min="2" max="2" width="11.42578125" customWidth="1"/>
    <col min="3" max="3" width="14.28515625" customWidth="1"/>
    <col min="4" max="4" width="15" customWidth="1"/>
    <col min="5" max="5" width="14.5703125" customWidth="1"/>
    <col min="6" max="6" width="11.42578125" style="1" customWidth="1"/>
    <col min="7" max="7" width="10.5703125" bestFit="1" customWidth="1"/>
    <col min="8" max="8" width="28.85546875" customWidth="1"/>
    <col min="9" max="9" width="11.42578125" customWidth="1"/>
    <col min="10" max="10" width="16.140625" customWidth="1"/>
    <col min="11" max="11" width="15" customWidth="1"/>
    <col min="12" max="12" width="14.5703125" customWidth="1"/>
  </cols>
  <sheetData>
    <row r="1" spans="1:12" x14ac:dyDescent="0.3">
      <c r="B1" s="1" t="s">
        <v>56</v>
      </c>
      <c r="D1" s="1"/>
      <c r="I1" s="1" t="s">
        <v>60</v>
      </c>
      <c r="K1" s="1"/>
    </row>
    <row r="2" spans="1:12" x14ac:dyDescent="0.3">
      <c r="B2" s="1" t="s">
        <v>52</v>
      </c>
      <c r="D2" s="1"/>
      <c r="I2" s="1" t="s">
        <v>52</v>
      </c>
      <c r="K2" s="1"/>
    </row>
    <row r="3" spans="1:12" x14ac:dyDescent="0.3">
      <c r="B3" s="1"/>
      <c r="C3" s="1"/>
      <c r="D3" s="1"/>
      <c r="I3" s="1"/>
      <c r="J3" s="1"/>
      <c r="K3" s="1"/>
    </row>
    <row r="4" spans="1:12" ht="19.5" thickBot="1" x14ac:dyDescent="0.35">
      <c r="E4" s="1"/>
      <c r="G4" s="1"/>
      <c r="L4" s="1"/>
    </row>
    <row r="5" spans="1:12" ht="42.75" thickBot="1" x14ac:dyDescent="0.4">
      <c r="A5" s="79" t="s">
        <v>43</v>
      </c>
      <c r="B5" s="80"/>
      <c r="C5" s="8" t="s">
        <v>55</v>
      </c>
      <c r="D5" s="9" t="s">
        <v>68</v>
      </c>
      <c r="E5" s="10" t="s">
        <v>39</v>
      </c>
      <c r="F5" s="2"/>
      <c r="G5" s="2"/>
      <c r="H5" s="79" t="s">
        <v>43</v>
      </c>
      <c r="I5" s="80"/>
      <c r="J5" s="8" t="s">
        <v>55</v>
      </c>
      <c r="K5" s="9" t="s">
        <v>68</v>
      </c>
      <c r="L5" s="10" t="s">
        <v>39</v>
      </c>
    </row>
    <row r="6" spans="1:12" x14ac:dyDescent="0.3">
      <c r="A6" s="81" t="s">
        <v>0</v>
      </c>
      <c r="B6" s="11" t="s">
        <v>1</v>
      </c>
      <c r="C6" s="22">
        <f>549784-30145-1500+27000+441.32</f>
        <v>545580.31999999995</v>
      </c>
      <c r="D6" s="18">
        <f>42312.4+40527.12+39636.72+52141.67+42181.53-74.64+36811.18+36137.16-37.32+45707.36+51263.82+41425.94</f>
        <v>428032.94</v>
      </c>
      <c r="E6" s="14">
        <f>C6-D6</f>
        <v>117547.37999999995</v>
      </c>
      <c r="F6" s="2"/>
      <c r="H6" s="81" t="s">
        <v>0</v>
      </c>
      <c r="I6" s="11" t="s">
        <v>1</v>
      </c>
      <c r="J6" s="59">
        <f>10606.55+1447.4</f>
        <v>12053.949999999999</v>
      </c>
      <c r="K6" s="18">
        <f>1447.4+10606.55</f>
        <v>12053.949999999999</v>
      </c>
      <c r="L6" s="14">
        <f>J6-K6</f>
        <v>0</v>
      </c>
    </row>
    <row r="7" spans="1:12" x14ac:dyDescent="0.3">
      <c r="A7" s="82"/>
      <c r="B7" s="3" t="s">
        <v>2</v>
      </c>
      <c r="C7" s="23">
        <f>SUM(C8:C11)</f>
        <v>24614</v>
      </c>
      <c r="D7" s="17">
        <f>SUM(D8:D11)</f>
        <v>18986.260000000002</v>
      </c>
      <c r="E7" s="15">
        <f t="shared" ref="E7:E33" si="0">C7-D7</f>
        <v>5627.739999999998</v>
      </c>
      <c r="F7" s="2"/>
      <c r="G7" s="2"/>
      <c r="H7" s="82"/>
      <c r="I7" s="3" t="s">
        <v>2</v>
      </c>
      <c r="J7" s="23"/>
      <c r="K7" s="17">
        <f>SUM(K8:K11)</f>
        <v>0</v>
      </c>
      <c r="L7" s="15">
        <f t="shared" ref="L7:L11" si="1">J7-K7</f>
        <v>0</v>
      </c>
    </row>
    <row r="8" spans="1:12" x14ac:dyDescent="0.3">
      <c r="A8" s="7" t="s">
        <v>3</v>
      </c>
      <c r="B8" s="4" t="s">
        <v>4</v>
      </c>
      <c r="C8" s="24">
        <v>2000</v>
      </c>
      <c r="D8" s="19"/>
      <c r="E8" s="16">
        <f t="shared" si="0"/>
        <v>2000</v>
      </c>
      <c r="H8" s="7" t="s">
        <v>3</v>
      </c>
      <c r="I8" s="4" t="s">
        <v>4</v>
      </c>
      <c r="J8" s="24"/>
      <c r="K8" s="19"/>
      <c r="L8" s="16">
        <f t="shared" si="1"/>
        <v>0</v>
      </c>
    </row>
    <row r="9" spans="1:12" x14ac:dyDescent="0.3">
      <c r="A9" s="7" t="s">
        <v>5</v>
      </c>
      <c r="B9" s="4" t="s">
        <v>6</v>
      </c>
      <c r="C9" s="24">
        <v>18000</v>
      </c>
      <c r="D9" s="19">
        <f>787.16+787.16+787.16+763.15+763.15+763.15+763.15+716.16+716.16+7816.16</f>
        <v>14662.56</v>
      </c>
      <c r="E9" s="16">
        <f t="shared" si="0"/>
        <v>3337.4400000000005</v>
      </c>
      <c r="F9" s="2"/>
      <c r="G9" s="2"/>
      <c r="H9" s="7" t="s">
        <v>5</v>
      </c>
      <c r="I9" s="4" t="s">
        <v>6</v>
      </c>
      <c r="J9" s="24"/>
      <c r="K9" s="19"/>
      <c r="L9" s="16">
        <f t="shared" si="1"/>
        <v>0</v>
      </c>
    </row>
    <row r="10" spans="1:12" x14ac:dyDescent="0.3">
      <c r="A10" s="7" t="s">
        <v>7</v>
      </c>
      <c r="B10" s="4" t="s">
        <v>8</v>
      </c>
      <c r="C10" s="21">
        <v>2114</v>
      </c>
      <c r="D10" s="19">
        <v>2114.64</v>
      </c>
      <c r="E10" s="16">
        <f t="shared" si="0"/>
        <v>-0.63999999999987267</v>
      </c>
      <c r="F10" s="2"/>
      <c r="G10" s="2"/>
      <c r="H10" s="7" t="s">
        <v>7</v>
      </c>
      <c r="I10" s="4" t="s">
        <v>8</v>
      </c>
      <c r="J10" s="21"/>
      <c r="K10" s="19"/>
      <c r="L10" s="16">
        <f t="shared" si="1"/>
        <v>0</v>
      </c>
    </row>
    <row r="11" spans="1:12" x14ac:dyDescent="0.3">
      <c r="A11" s="7" t="s">
        <v>9</v>
      </c>
      <c r="B11" s="4" t="s">
        <v>10</v>
      </c>
      <c r="C11" s="24">
        <v>2500</v>
      </c>
      <c r="D11" s="19">
        <f>406.1+711.39+422.5+166.96+264.93+237.18</f>
        <v>2209.06</v>
      </c>
      <c r="E11" s="16">
        <f t="shared" si="0"/>
        <v>290.94000000000005</v>
      </c>
      <c r="F11" s="2"/>
      <c r="G11" s="2"/>
      <c r="H11" s="7" t="s">
        <v>9</v>
      </c>
      <c r="I11" s="4" t="s">
        <v>10</v>
      </c>
      <c r="J11" s="24"/>
      <c r="K11" s="19"/>
      <c r="L11" s="16">
        <f t="shared" si="1"/>
        <v>0</v>
      </c>
    </row>
    <row r="12" spans="1:12" x14ac:dyDescent="0.3">
      <c r="A12" s="7"/>
      <c r="B12" s="4"/>
      <c r="C12" s="24"/>
      <c r="D12" s="19"/>
      <c r="E12" s="16"/>
      <c r="H12" s="7"/>
      <c r="I12" s="4"/>
      <c r="J12" s="24"/>
      <c r="K12" s="19"/>
      <c r="L12" s="16"/>
    </row>
    <row r="13" spans="1:12" ht="21" x14ac:dyDescent="0.35">
      <c r="A13" s="7" t="s">
        <v>11</v>
      </c>
      <c r="B13" s="3" t="s">
        <v>12</v>
      </c>
      <c r="C13" s="23">
        <f>SUM(C14:C17)</f>
        <v>127500</v>
      </c>
      <c r="D13" s="23">
        <f>SUM(D14:D17)</f>
        <v>98498.41</v>
      </c>
      <c r="E13" s="15">
        <f>C13-D13</f>
        <v>29001.589999999997</v>
      </c>
      <c r="G13" s="5"/>
      <c r="H13" s="7" t="s">
        <v>11</v>
      </c>
      <c r="I13" s="3" t="s">
        <v>12</v>
      </c>
      <c r="J13" s="23">
        <f>J14+J15+J16+J17</f>
        <v>2791.84</v>
      </c>
      <c r="K13" s="58">
        <f>SUM(K14:K17)</f>
        <v>2791.84</v>
      </c>
      <c r="L13" s="15">
        <f>J13-K13</f>
        <v>0</v>
      </c>
    </row>
    <row r="14" spans="1:12" ht="21" x14ac:dyDescent="0.35">
      <c r="A14" s="7" t="s">
        <v>13</v>
      </c>
      <c r="B14" s="4" t="s">
        <v>14</v>
      </c>
      <c r="C14" s="24">
        <v>68000</v>
      </c>
      <c r="D14" s="19">
        <f>5169.86+4998.13+4840.13+6224.9+4991.89+4469.06+3805.92+5369.22+5840.33+4860.73</f>
        <v>50570.17</v>
      </c>
      <c r="E14" s="16">
        <f>C14-D14</f>
        <v>17429.830000000002</v>
      </c>
      <c r="G14" s="5"/>
      <c r="H14" s="7" t="s">
        <v>13</v>
      </c>
      <c r="I14" s="4" t="s">
        <v>14</v>
      </c>
      <c r="J14" s="60">
        <f>1256.22+165.29</f>
        <v>1421.51</v>
      </c>
      <c r="K14" s="19">
        <f>1256.22+165.29</f>
        <v>1421.51</v>
      </c>
      <c r="L14" s="16">
        <f>J14-K14</f>
        <v>0</v>
      </c>
    </row>
    <row r="15" spans="1:12" ht="21" x14ac:dyDescent="0.35">
      <c r="A15" s="7" t="s">
        <v>15</v>
      </c>
      <c r="B15" s="4" t="s">
        <v>16</v>
      </c>
      <c r="C15" s="24">
        <v>20000</v>
      </c>
      <c r="D15" s="19">
        <f>1683.83+1636.44+1586.23+2022.36+1647.03+1503.6+1307.82+1791.82+1925.02+1630.03</f>
        <v>16734.18</v>
      </c>
      <c r="E15" s="16">
        <f>C15-D15</f>
        <v>3265.8199999999997</v>
      </c>
      <c r="G15" s="6"/>
      <c r="H15" s="7" t="s">
        <v>15</v>
      </c>
      <c r="I15" s="4" t="s">
        <v>16</v>
      </c>
      <c r="J15" s="24">
        <f>456.08+43.1</f>
        <v>499.18</v>
      </c>
      <c r="K15" s="19">
        <f>456.08+43.1</f>
        <v>499.18</v>
      </c>
      <c r="L15" s="16">
        <f t="shared" ref="L15:L17" si="2">J15-K15</f>
        <v>0</v>
      </c>
    </row>
    <row r="16" spans="1:12" x14ac:dyDescent="0.3">
      <c r="A16" s="7" t="s">
        <v>17</v>
      </c>
      <c r="B16" s="4" t="s">
        <v>18</v>
      </c>
      <c r="C16" s="24">
        <v>27000</v>
      </c>
      <c r="D16" s="19">
        <f>2114.69+2081.33+2055.75+2532.53+2024.85+1923.37+1654.13+2299.16+2469.49+2017.04</f>
        <v>21172.340000000004</v>
      </c>
      <c r="E16" s="16">
        <f t="shared" ref="E16:E17" si="3">C16-D16</f>
        <v>5827.6599999999962</v>
      </c>
      <c r="H16" s="7" t="s">
        <v>17</v>
      </c>
      <c r="I16" s="4" t="s">
        <v>18</v>
      </c>
      <c r="J16" s="24">
        <f>509.11+69.48</f>
        <v>578.59</v>
      </c>
      <c r="K16" s="19">
        <f>509.11+69.48</f>
        <v>578.59</v>
      </c>
      <c r="L16" s="16">
        <f t="shared" si="2"/>
        <v>0</v>
      </c>
    </row>
    <row r="17" spans="1:15" x14ac:dyDescent="0.3">
      <c r="A17" s="7" t="s">
        <v>19</v>
      </c>
      <c r="B17" s="4" t="s">
        <v>20</v>
      </c>
      <c r="C17" s="24">
        <v>12500</v>
      </c>
      <c r="D17" s="19">
        <f>974.32+940.44+931.6+1163.16+908.93+884.03+829.13+1176.79+1231.19+982.13</f>
        <v>10021.719999999999</v>
      </c>
      <c r="E17" s="16">
        <f t="shared" si="3"/>
        <v>2478.2800000000007</v>
      </c>
      <c r="H17" s="7" t="s">
        <v>19</v>
      </c>
      <c r="I17" s="4" t="s">
        <v>20</v>
      </c>
      <c r="J17" s="24">
        <f>252.03+40.53</f>
        <v>292.56</v>
      </c>
      <c r="K17" s="19">
        <f>252.03+40.53</f>
        <v>292.56</v>
      </c>
      <c r="L17" s="16">
        <f t="shared" si="2"/>
        <v>0</v>
      </c>
    </row>
    <row r="18" spans="1:15" x14ac:dyDescent="0.3">
      <c r="A18" s="47"/>
      <c r="B18" s="4"/>
      <c r="C18" s="24"/>
      <c r="D18" s="19"/>
      <c r="E18" s="16"/>
      <c r="H18" s="47"/>
      <c r="I18" s="4"/>
      <c r="J18" s="24"/>
      <c r="K18" s="19"/>
      <c r="L18" s="16"/>
    </row>
    <row r="19" spans="1:15" x14ac:dyDescent="0.3">
      <c r="A19" s="48" t="s">
        <v>40</v>
      </c>
      <c r="B19" s="4" t="s">
        <v>29</v>
      </c>
      <c r="C19" s="24">
        <f>SUM(C20:C29)</f>
        <v>160970.59</v>
      </c>
      <c r="D19" s="17">
        <f>SUM(D20:D29)</f>
        <v>96511.010000000009</v>
      </c>
      <c r="E19" s="15">
        <f t="shared" si="0"/>
        <v>64459.579999999987</v>
      </c>
      <c r="F19" s="52"/>
      <c r="H19" s="48" t="s">
        <v>40</v>
      </c>
      <c r="I19" s="4" t="s">
        <v>29</v>
      </c>
      <c r="J19" s="24">
        <v>6540</v>
      </c>
      <c r="K19" s="17">
        <f>SUM(K20:K29)</f>
        <v>6538</v>
      </c>
      <c r="L19" s="15">
        <f t="shared" ref="L19:L20" si="4">J19-K19</f>
        <v>2</v>
      </c>
    </row>
    <row r="20" spans="1:15" x14ac:dyDescent="0.3">
      <c r="A20" s="43" t="s">
        <v>21</v>
      </c>
      <c r="B20" s="44" t="s">
        <v>22</v>
      </c>
      <c r="C20" s="45">
        <v>40000</v>
      </c>
      <c r="D20" s="49">
        <f>4034+3509+3792+3943.5+3321+1978.5+464+499.5+1623+4125</f>
        <v>27289.5</v>
      </c>
      <c r="E20" s="16">
        <f t="shared" si="0"/>
        <v>12710.5</v>
      </c>
      <c r="H20" s="43" t="s">
        <v>21</v>
      </c>
      <c r="I20" s="44" t="s">
        <v>22</v>
      </c>
      <c r="J20" s="45"/>
      <c r="K20" s="49"/>
      <c r="L20" s="16">
        <f t="shared" si="4"/>
        <v>0</v>
      </c>
    </row>
    <row r="21" spans="1:15" x14ac:dyDescent="0.3">
      <c r="A21" s="43" t="s">
        <v>41</v>
      </c>
      <c r="B21" s="44" t="s">
        <v>30</v>
      </c>
      <c r="C21" s="45"/>
      <c r="D21" s="46"/>
      <c r="E21" s="15"/>
      <c r="H21" s="43" t="s">
        <v>41</v>
      </c>
      <c r="I21" s="44" t="s">
        <v>30</v>
      </c>
      <c r="J21" s="45"/>
      <c r="K21" s="46"/>
      <c r="L21" s="15"/>
    </row>
    <row r="22" spans="1:15" x14ac:dyDescent="0.3">
      <c r="A22" s="43" t="s">
        <v>42</v>
      </c>
      <c r="B22" s="44" t="s">
        <v>31</v>
      </c>
      <c r="C22" s="45">
        <v>1000</v>
      </c>
      <c r="D22" s="49">
        <v>750</v>
      </c>
      <c r="E22" s="16">
        <f t="shared" si="0"/>
        <v>250</v>
      </c>
      <c r="H22" s="43" t="s">
        <v>42</v>
      </c>
      <c r="I22" s="44" t="s">
        <v>31</v>
      </c>
      <c r="J22" s="45"/>
      <c r="K22" s="49"/>
      <c r="L22" s="16">
        <f t="shared" ref="L22:L23" si="5">J22-K22</f>
        <v>0</v>
      </c>
      <c r="N22" t="s">
        <v>67</v>
      </c>
    </row>
    <row r="23" spans="1:15" x14ac:dyDescent="0.3">
      <c r="A23" s="7" t="s">
        <v>23</v>
      </c>
      <c r="B23" s="12" t="s">
        <v>24</v>
      </c>
      <c r="C23" s="21">
        <v>8171.4</v>
      </c>
      <c r="D23" s="19">
        <v>8171.4</v>
      </c>
      <c r="E23" s="16">
        <f t="shared" si="0"/>
        <v>0</v>
      </c>
      <c r="H23" s="7" t="s">
        <v>23</v>
      </c>
      <c r="I23" s="12" t="s">
        <v>24</v>
      </c>
      <c r="J23" s="21"/>
      <c r="K23" s="19"/>
      <c r="L23" s="16">
        <f t="shared" si="5"/>
        <v>0</v>
      </c>
      <c r="N23">
        <v>1765.8</v>
      </c>
      <c r="O23">
        <f>N23*40%</f>
        <v>706.32</v>
      </c>
    </row>
    <row r="24" spans="1:15" x14ac:dyDescent="0.3">
      <c r="A24" s="7" t="s">
        <v>32</v>
      </c>
      <c r="B24" s="12" t="s">
        <v>33</v>
      </c>
      <c r="C24" s="24">
        <f>15000+22458</f>
        <v>37458</v>
      </c>
      <c r="D24" s="61">
        <f>688+323.4+1373.4+858+239.38+1458.38-120-162+794+1187.03+606+103</f>
        <v>7348.59</v>
      </c>
      <c r="E24" s="16">
        <f>C24-D24</f>
        <v>30109.41</v>
      </c>
      <c r="H24" s="7" t="s">
        <v>32</v>
      </c>
      <c r="I24" s="12" t="s">
        <v>33</v>
      </c>
      <c r="J24" s="24">
        <v>6540</v>
      </c>
      <c r="K24" s="19">
        <f>282+6376-120</f>
        <v>6538</v>
      </c>
      <c r="L24" s="16">
        <f>J24-K24</f>
        <v>2</v>
      </c>
      <c r="O24">
        <f>N23*30%</f>
        <v>529.74</v>
      </c>
    </row>
    <row r="25" spans="1:15" x14ac:dyDescent="0.3">
      <c r="A25" s="7" t="s">
        <v>34</v>
      </c>
      <c r="B25" s="4" t="s">
        <v>35</v>
      </c>
      <c r="C25" s="24">
        <v>20000</v>
      </c>
      <c r="D25" s="19">
        <f>234.8+293.18+298.57+191.75+243.66+182.85+163.52+10620.31+102.42+33.55+155.72</f>
        <v>12520.329999999998</v>
      </c>
      <c r="E25" s="16">
        <f>C25-D25</f>
        <v>7479.6700000000019</v>
      </c>
      <c r="H25" s="7" t="s">
        <v>34</v>
      </c>
      <c r="I25" s="4" t="s">
        <v>35</v>
      </c>
      <c r="J25" s="24"/>
      <c r="K25" s="19"/>
      <c r="L25" s="16">
        <f>J25-K25</f>
        <v>0</v>
      </c>
      <c r="O25">
        <f>N23*30%</f>
        <v>529.74</v>
      </c>
    </row>
    <row r="26" spans="1:15" x14ac:dyDescent="0.3">
      <c r="A26" s="42" t="s">
        <v>44</v>
      </c>
      <c r="B26" s="12" t="s">
        <v>25</v>
      </c>
      <c r="C26" s="24">
        <f>20000+3191.71+11000+2344.08+603+5702.4</f>
        <v>42841.19</v>
      </c>
      <c r="D26" s="19">
        <f>1793.47+1761.94+1970.64+4619.57+2074.24+5054.83+14603.58+357.71+1758.79+1079.45+1694.97</f>
        <v>36769.189999999995</v>
      </c>
      <c r="E26" s="15">
        <f t="shared" si="0"/>
        <v>6072.0000000000073</v>
      </c>
      <c r="H26" s="42" t="s">
        <v>44</v>
      </c>
      <c r="I26" s="12" t="s">
        <v>25</v>
      </c>
      <c r="J26" s="24"/>
      <c r="K26" s="19"/>
      <c r="L26" s="15">
        <f t="shared" ref="L26:L28" si="6">J26-K26</f>
        <v>0</v>
      </c>
    </row>
    <row r="27" spans="1:15" x14ac:dyDescent="0.3">
      <c r="A27" s="42" t="s">
        <v>36</v>
      </c>
      <c r="B27" s="12" t="s">
        <v>37</v>
      </c>
      <c r="C27" s="24">
        <v>10000</v>
      </c>
      <c r="D27" s="19">
        <v>2800</v>
      </c>
      <c r="E27" s="16">
        <f t="shared" si="0"/>
        <v>7200</v>
      </c>
      <c r="H27" s="42" t="s">
        <v>36</v>
      </c>
      <c r="I27" s="12" t="s">
        <v>37</v>
      </c>
      <c r="J27" s="24"/>
      <c r="K27" s="19"/>
      <c r="L27" s="16">
        <f t="shared" si="6"/>
        <v>0</v>
      </c>
    </row>
    <row r="28" spans="1:15" x14ac:dyDescent="0.3">
      <c r="A28" s="42" t="s">
        <v>45</v>
      </c>
      <c r="B28" s="12" t="s">
        <v>38</v>
      </c>
      <c r="C28" s="24">
        <v>1500</v>
      </c>
      <c r="D28" s="19">
        <f>100+40+120+100+138+206+50+68+40</f>
        <v>862</v>
      </c>
      <c r="E28" s="16">
        <f t="shared" si="0"/>
        <v>638</v>
      </c>
      <c r="H28" s="42" t="s">
        <v>45</v>
      </c>
      <c r="I28" s="12" t="s">
        <v>38</v>
      </c>
      <c r="J28" s="24"/>
      <c r="K28" s="19"/>
      <c r="L28" s="16">
        <f t="shared" si="6"/>
        <v>0</v>
      </c>
    </row>
    <row r="29" spans="1:15" x14ac:dyDescent="0.3">
      <c r="A29" s="42" t="s">
        <v>46</v>
      </c>
      <c r="B29" s="12" t="s">
        <v>49</v>
      </c>
      <c r="C29" s="24"/>
      <c r="D29" s="19"/>
      <c r="E29" s="16"/>
      <c r="H29" s="42" t="s">
        <v>46</v>
      </c>
      <c r="I29" s="12" t="s">
        <v>49</v>
      </c>
      <c r="J29" s="24"/>
      <c r="K29" s="19"/>
      <c r="L29" s="16"/>
    </row>
    <row r="30" spans="1:15" x14ac:dyDescent="0.3">
      <c r="A30" s="42" t="s">
        <v>47</v>
      </c>
      <c r="B30" s="12" t="s">
        <v>50</v>
      </c>
      <c r="C30" s="24">
        <v>300</v>
      </c>
      <c r="D30" s="19">
        <v>214.97</v>
      </c>
      <c r="E30" s="16">
        <f t="shared" si="0"/>
        <v>85.03</v>
      </c>
      <c r="H30" s="42" t="s">
        <v>47</v>
      </c>
      <c r="I30" s="12" t="s">
        <v>50</v>
      </c>
      <c r="J30" s="24"/>
      <c r="K30" s="19"/>
      <c r="L30" s="16">
        <f t="shared" ref="L30:L33" si="7">J30-K30</f>
        <v>0</v>
      </c>
    </row>
    <row r="31" spans="1:15" x14ac:dyDescent="0.3">
      <c r="A31" s="7" t="s">
        <v>48</v>
      </c>
      <c r="B31" s="12" t="s">
        <v>51</v>
      </c>
      <c r="C31" s="24"/>
      <c r="D31" s="19"/>
      <c r="E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7"/>
        <v>0</v>
      </c>
    </row>
    <row r="32" spans="1:15" x14ac:dyDescent="0.3">
      <c r="A32" s="13" t="s">
        <v>26</v>
      </c>
      <c r="B32" s="12" t="s">
        <v>27</v>
      </c>
      <c r="C32" s="25">
        <f>15044-603-5702.4</f>
        <v>8738.6</v>
      </c>
      <c r="D32" s="19"/>
      <c r="E32" s="16">
        <f t="shared" si="0"/>
        <v>8738.6</v>
      </c>
      <c r="H32" s="13" t="s">
        <v>61</v>
      </c>
      <c r="I32" s="12" t="s">
        <v>62</v>
      </c>
      <c r="J32" s="25">
        <f>10301+5430+5656</f>
        <v>21387</v>
      </c>
      <c r="K32" s="19"/>
      <c r="L32" s="16">
        <f t="shared" si="7"/>
        <v>21387</v>
      </c>
    </row>
    <row r="33" spans="1:14" x14ac:dyDescent="0.3">
      <c r="C33" s="24"/>
      <c r="D33" s="19"/>
      <c r="E33" s="16">
        <f t="shared" si="0"/>
        <v>0</v>
      </c>
      <c r="J33" s="24"/>
      <c r="K33" s="19"/>
      <c r="L33" s="16">
        <f t="shared" si="7"/>
        <v>0</v>
      </c>
      <c r="N33" s="57">
        <f>L32-K34</f>
        <v>3.2099999999991269</v>
      </c>
    </row>
    <row r="34" spans="1:14" x14ac:dyDescent="0.3">
      <c r="B34" t="s">
        <v>28</v>
      </c>
      <c r="C34" s="26">
        <f>C6+C7+C13+C19+C30+C31</f>
        <v>858964.90999999992</v>
      </c>
      <c r="D34" s="55">
        <f>D6+D7+D13+D19+D30+D31</f>
        <v>642243.59</v>
      </c>
      <c r="E34" s="26">
        <f>E6+E7+E13+E19+E30+E31</f>
        <v>216721.31999999992</v>
      </c>
      <c r="I34" t="s">
        <v>28</v>
      </c>
      <c r="J34" s="26">
        <f>J6+J7+J13+J19+J30+J31</f>
        <v>21385.79</v>
      </c>
      <c r="K34" s="55">
        <f>K6+K7+K13+K19+K30+K31</f>
        <v>21383.79</v>
      </c>
      <c r="L34" s="26">
        <f>L6+L7+L13+L19+L30+L31</f>
        <v>2</v>
      </c>
    </row>
    <row r="35" spans="1:14" x14ac:dyDescent="0.3">
      <c r="C35" s="50"/>
      <c r="D35" s="20"/>
      <c r="J35" s="50"/>
      <c r="K35" s="20"/>
    </row>
    <row r="36" spans="1:14" x14ac:dyDescent="0.3">
      <c r="A36" s="1" t="s">
        <v>53</v>
      </c>
      <c r="C36" s="50"/>
      <c r="D36" s="56" t="s">
        <v>54</v>
      </c>
      <c r="F36" s="2"/>
      <c r="H36" s="1" t="s">
        <v>53</v>
      </c>
      <c r="J36" s="50"/>
      <c r="K36" s="56" t="s">
        <v>54</v>
      </c>
    </row>
    <row r="37" spans="1:14" x14ac:dyDescent="0.3">
      <c r="C37" s="50"/>
      <c r="D37" s="20"/>
      <c r="F37" s="2"/>
      <c r="J37" s="50"/>
      <c r="K37" s="20"/>
    </row>
    <row r="38" spans="1:14" s="28" customFormat="1" x14ac:dyDescent="0.3">
      <c r="D38" s="29"/>
      <c r="F38" s="53"/>
      <c r="K38" s="29"/>
    </row>
    <row r="39" spans="1:14" s="28" customFormat="1" ht="21" x14ac:dyDescent="0.35">
      <c r="A39" s="83"/>
      <c r="B39" s="83"/>
      <c r="C39" s="30"/>
      <c r="D39" s="31"/>
      <c r="E39" s="32"/>
      <c r="F39" s="53"/>
      <c r="H39" s="83"/>
      <c r="I39" s="83"/>
      <c r="J39" s="30"/>
      <c r="K39" s="31"/>
      <c r="L39" s="32"/>
    </row>
    <row r="40" spans="1:14" s="28" customFormat="1" x14ac:dyDescent="0.3">
      <c r="B40" s="27"/>
      <c r="C40" s="33"/>
      <c r="D40" s="34"/>
      <c r="E40" s="35"/>
      <c r="F40" s="53"/>
      <c r="I40" s="27"/>
      <c r="J40" s="33"/>
      <c r="K40" s="34"/>
      <c r="L40" s="35"/>
    </row>
    <row r="41" spans="1:14" s="28" customFormat="1" x14ac:dyDescent="0.3">
      <c r="B41" s="27"/>
      <c r="C41" s="36"/>
      <c r="D41" s="37"/>
      <c r="E41" s="35"/>
      <c r="F41" s="53"/>
      <c r="I41" s="27"/>
      <c r="J41" s="36"/>
      <c r="K41" s="37"/>
      <c r="L41" s="35"/>
    </row>
    <row r="42" spans="1:14" s="28" customFormat="1" x14ac:dyDescent="0.3">
      <c r="B42" s="27"/>
      <c r="C42" s="36"/>
      <c r="D42" s="37"/>
      <c r="E42" s="35"/>
      <c r="F42" s="53"/>
      <c r="I42" s="27"/>
      <c r="J42" s="36"/>
      <c r="K42" s="37"/>
      <c r="L42" s="35"/>
    </row>
    <row r="43" spans="1:14" s="28" customFormat="1" x14ac:dyDescent="0.3">
      <c r="B43" s="27"/>
      <c r="C43" s="36"/>
      <c r="D43" s="37"/>
      <c r="E43" s="35"/>
      <c r="F43" s="53"/>
      <c r="I43" s="27"/>
      <c r="J43" s="36"/>
      <c r="K43" s="37"/>
      <c r="L43" s="35"/>
    </row>
    <row r="44" spans="1:14" s="28" customFormat="1" x14ac:dyDescent="0.3">
      <c r="B44" s="27"/>
      <c r="C44" s="36"/>
      <c r="D44" s="37"/>
      <c r="E44" s="35"/>
      <c r="F44" s="53"/>
      <c r="I44" s="27"/>
      <c r="J44" s="36"/>
      <c r="K44" s="37"/>
      <c r="L44" s="35"/>
    </row>
    <row r="45" spans="1:14" s="28" customFormat="1" x14ac:dyDescent="0.3">
      <c r="B45" s="27"/>
      <c r="C45" s="36"/>
      <c r="D45" s="37"/>
      <c r="E45" s="35"/>
      <c r="F45" s="53"/>
      <c r="I45" s="27"/>
      <c r="J45" s="36"/>
      <c r="K45" s="37"/>
      <c r="L45" s="35"/>
    </row>
    <row r="46" spans="1:14" s="28" customFormat="1" x14ac:dyDescent="0.3">
      <c r="B46" s="27"/>
      <c r="C46" s="36"/>
      <c r="D46" s="37"/>
      <c r="E46" s="35"/>
      <c r="F46" s="53"/>
      <c r="I46" s="27"/>
      <c r="J46" s="36"/>
      <c r="K46" s="37"/>
      <c r="L46" s="35"/>
    </row>
    <row r="47" spans="1:14" s="28" customFormat="1" x14ac:dyDescent="0.3">
      <c r="B47" s="27"/>
      <c r="C47" s="36"/>
      <c r="D47" s="37"/>
      <c r="E47" s="35"/>
      <c r="F47" s="53"/>
      <c r="I47" s="27"/>
      <c r="J47" s="36"/>
      <c r="K47" s="37"/>
      <c r="L47" s="35"/>
    </row>
    <row r="48" spans="1:14" s="28" customFormat="1" x14ac:dyDescent="0.3">
      <c r="B48" s="27"/>
      <c r="C48" s="36"/>
      <c r="D48" s="37"/>
      <c r="E48" s="35"/>
      <c r="F48" s="54"/>
      <c r="I48" s="27"/>
      <c r="J48" s="36"/>
      <c r="K48" s="37"/>
      <c r="L48" s="35"/>
    </row>
    <row r="49" spans="1:12" s="28" customFormat="1" x14ac:dyDescent="0.3">
      <c r="B49" s="27"/>
      <c r="C49" s="36"/>
      <c r="D49" s="37"/>
      <c r="E49" s="35"/>
      <c r="F49" s="53"/>
      <c r="I49" s="27"/>
      <c r="J49" s="36"/>
      <c r="K49" s="37"/>
      <c r="L49" s="35"/>
    </row>
    <row r="50" spans="1:12" s="28" customFormat="1" x14ac:dyDescent="0.3">
      <c r="B50" s="27"/>
      <c r="C50" s="36"/>
      <c r="D50" s="37"/>
      <c r="E50" s="35"/>
      <c r="F50" s="53"/>
      <c r="I50" s="27"/>
      <c r="J50" s="36"/>
      <c r="K50" s="37"/>
      <c r="L50" s="35"/>
    </row>
    <row r="51" spans="1:12" s="28" customFormat="1" x14ac:dyDescent="0.3">
      <c r="B51" s="27"/>
      <c r="C51" s="36"/>
      <c r="D51" s="37"/>
      <c r="E51" s="35"/>
      <c r="F51" s="53"/>
      <c r="I51" s="27"/>
      <c r="J51" s="36"/>
      <c r="K51" s="37"/>
      <c r="L51" s="35"/>
    </row>
    <row r="52" spans="1:12" s="28" customFormat="1" x14ac:dyDescent="0.3">
      <c r="B52" s="27"/>
      <c r="C52" s="36"/>
      <c r="D52" s="37"/>
      <c r="E52" s="35"/>
      <c r="F52" s="53"/>
      <c r="I52" s="27"/>
      <c r="J52" s="36"/>
      <c r="K52" s="37"/>
      <c r="L52" s="35"/>
    </row>
    <row r="53" spans="1:12" s="28" customFormat="1" x14ac:dyDescent="0.3">
      <c r="C53" s="33"/>
      <c r="D53" s="34"/>
      <c r="E53" s="35"/>
      <c r="F53" s="53"/>
      <c r="J53" s="33"/>
      <c r="K53" s="34"/>
      <c r="L53" s="35"/>
    </row>
    <row r="54" spans="1:12" s="28" customFormat="1" x14ac:dyDescent="0.3">
      <c r="C54" s="35"/>
      <c r="D54" s="34"/>
      <c r="E54" s="35"/>
      <c r="F54" s="53"/>
      <c r="J54" s="35"/>
      <c r="K54" s="34"/>
      <c r="L54" s="35"/>
    </row>
    <row r="55" spans="1:12" s="28" customFormat="1" x14ac:dyDescent="0.3">
      <c r="C55" s="35"/>
      <c r="D55" s="34"/>
      <c r="E55" s="35"/>
      <c r="F55" s="53"/>
      <c r="J55" s="35"/>
      <c r="K55" s="34"/>
      <c r="L55" s="35"/>
    </row>
    <row r="56" spans="1:12" s="28" customFormat="1" x14ac:dyDescent="0.3">
      <c r="A56" s="39"/>
      <c r="C56" s="40"/>
      <c r="D56" s="27"/>
      <c r="F56" s="53"/>
      <c r="H56" s="39"/>
      <c r="J56" s="40"/>
      <c r="K56" s="27"/>
    </row>
    <row r="57" spans="1:12" s="28" customFormat="1" x14ac:dyDescent="0.3">
      <c r="C57" s="41"/>
      <c r="D57" s="41"/>
      <c r="F57" s="53"/>
      <c r="J57" s="41"/>
      <c r="K57" s="41"/>
    </row>
    <row r="58" spans="1:12" s="28" customFormat="1" x14ac:dyDescent="0.3">
      <c r="A58" s="38"/>
      <c r="B58" s="27"/>
      <c r="C58" s="27"/>
      <c r="D58" s="27"/>
      <c r="F58" s="53"/>
      <c r="H58" s="38"/>
      <c r="I58" s="27"/>
      <c r="J58" s="27"/>
      <c r="K58" s="27"/>
    </row>
    <row r="59" spans="1:12" s="28" customFormat="1" x14ac:dyDescent="0.3">
      <c r="B59" s="27"/>
      <c r="C59" s="27"/>
      <c r="D59" s="27"/>
      <c r="F59" s="53"/>
      <c r="I59" s="27"/>
      <c r="J59" s="27"/>
      <c r="K59" s="27"/>
    </row>
    <row r="60" spans="1:12" s="28" customFormat="1" x14ac:dyDescent="0.3">
      <c r="B60" s="27"/>
      <c r="C60" s="27"/>
      <c r="D60" s="27"/>
      <c r="F60" s="53"/>
      <c r="I60" s="27"/>
      <c r="J60" s="27"/>
      <c r="K60" s="27"/>
    </row>
    <row r="61" spans="1:12" s="28" customFormat="1" x14ac:dyDescent="0.3">
      <c r="A61" s="38"/>
      <c r="B61" s="27"/>
      <c r="C61" s="27"/>
      <c r="D61" s="27"/>
      <c r="F61" s="53"/>
      <c r="H61" s="38"/>
      <c r="I61" s="27"/>
      <c r="J61" s="27"/>
      <c r="K61" s="27"/>
    </row>
    <row r="62" spans="1:12" s="28" customFormat="1" x14ac:dyDescent="0.3">
      <c r="A62" s="38"/>
      <c r="B62" s="27"/>
      <c r="C62" s="27"/>
      <c r="D62" s="27"/>
      <c r="F62" s="53"/>
      <c r="H62" s="38"/>
      <c r="I62" s="27"/>
      <c r="J62" s="27"/>
      <c r="K62" s="27"/>
    </row>
    <row r="63" spans="1:12" s="28" customFormat="1" x14ac:dyDescent="0.3">
      <c r="A63" s="38"/>
      <c r="B63" s="27"/>
      <c r="C63" s="27"/>
      <c r="D63" s="27"/>
      <c r="F63" s="53"/>
      <c r="H63" s="38"/>
      <c r="I63" s="27"/>
      <c r="J63" s="27"/>
      <c r="K63" s="27"/>
    </row>
    <row r="64" spans="1:12" s="28" customFormat="1" x14ac:dyDescent="0.3">
      <c r="A64" s="38"/>
      <c r="B64" s="27"/>
      <c r="C64" s="27"/>
      <c r="D64" s="27"/>
      <c r="F64" s="53"/>
      <c r="H64" s="38"/>
      <c r="I64" s="27"/>
      <c r="J64" s="27"/>
      <c r="K64" s="27"/>
    </row>
    <row r="65" spans="6:6" s="28" customFormat="1" x14ac:dyDescent="0.3">
      <c r="F65" s="53"/>
    </row>
  </sheetData>
  <mergeCells count="6">
    <mergeCell ref="A5:B5"/>
    <mergeCell ref="H5:I5"/>
    <mergeCell ref="A6:A7"/>
    <mergeCell ref="H6:H7"/>
    <mergeCell ref="A39:B39"/>
    <mergeCell ref="H39:I3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selection activeCell="F7" sqref="F7"/>
    </sheetView>
  </sheetViews>
  <sheetFormatPr defaultRowHeight="18.75" x14ac:dyDescent="0.3"/>
  <cols>
    <col min="1" max="1" width="28.85546875" customWidth="1"/>
    <col min="2" max="2" width="11.42578125" customWidth="1"/>
    <col min="3" max="3" width="15.7109375" customWidth="1"/>
    <col min="4" max="4" width="15" customWidth="1"/>
    <col min="5" max="5" width="14.5703125" customWidth="1"/>
    <col min="6" max="6" width="11.42578125" style="1" customWidth="1"/>
    <col min="7" max="7" width="10.5703125" bestFit="1" customWidth="1"/>
    <col min="8" max="8" width="28.85546875" customWidth="1"/>
    <col min="9" max="9" width="11.42578125" customWidth="1"/>
    <col min="10" max="10" width="16.140625" customWidth="1"/>
    <col min="11" max="11" width="15" customWidth="1"/>
    <col min="12" max="12" width="14.5703125" customWidth="1"/>
  </cols>
  <sheetData>
    <row r="1" spans="1:12" x14ac:dyDescent="0.3">
      <c r="B1" s="1" t="s">
        <v>56</v>
      </c>
      <c r="D1" s="1"/>
      <c r="I1" s="1" t="s">
        <v>60</v>
      </c>
      <c r="K1" s="1"/>
    </row>
    <row r="2" spans="1:12" x14ac:dyDescent="0.3">
      <c r="B2" s="1" t="s">
        <v>52</v>
      </c>
      <c r="D2" s="1"/>
      <c r="I2" s="1" t="s">
        <v>52</v>
      </c>
      <c r="K2" s="1"/>
    </row>
    <row r="3" spans="1:12" x14ac:dyDescent="0.3">
      <c r="B3" s="1"/>
      <c r="C3" s="1"/>
      <c r="D3" s="1"/>
      <c r="I3" s="1"/>
      <c r="J3" s="1"/>
      <c r="K3" s="1"/>
    </row>
    <row r="4" spans="1:12" ht="19.5" thickBot="1" x14ac:dyDescent="0.35">
      <c r="E4" s="1"/>
      <c r="G4" s="1"/>
      <c r="L4" s="1"/>
    </row>
    <row r="5" spans="1:12" ht="42.75" thickBot="1" x14ac:dyDescent="0.4">
      <c r="A5" s="79" t="s">
        <v>43</v>
      </c>
      <c r="B5" s="80"/>
      <c r="C5" s="8" t="s">
        <v>55</v>
      </c>
      <c r="D5" s="9" t="s">
        <v>69</v>
      </c>
      <c r="E5" s="10" t="s">
        <v>39</v>
      </c>
      <c r="F5" s="2"/>
      <c r="G5" s="2"/>
      <c r="H5" s="79" t="s">
        <v>43</v>
      </c>
      <c r="I5" s="80"/>
      <c r="J5" s="8" t="s">
        <v>55</v>
      </c>
      <c r="K5" s="9" t="s">
        <v>68</v>
      </c>
      <c r="L5" s="10" t="s">
        <v>39</v>
      </c>
    </row>
    <row r="6" spans="1:12" x14ac:dyDescent="0.3">
      <c r="A6" s="81" t="s">
        <v>0</v>
      </c>
      <c r="B6" s="11" t="s">
        <v>1</v>
      </c>
      <c r="C6" s="59">
        <f>549784-30145-1500+27000+441.32+5210</f>
        <v>550790.31999999995</v>
      </c>
      <c r="D6" s="18">
        <f>42312.4+40527.12+39636.72+52141.67+42181.53-74.64+36811.18+36137.16-37.32+45707.36+51263.82+41425.94+98139.69</f>
        <v>526172.63</v>
      </c>
      <c r="E6" s="14">
        <f>C6-D6</f>
        <v>24617.689999999944</v>
      </c>
      <c r="F6" s="2"/>
      <c r="H6" s="81" t="s">
        <v>0</v>
      </c>
      <c r="I6" s="11" t="s">
        <v>1</v>
      </c>
      <c r="J6" s="59">
        <f>10606.55+1447.4</f>
        <v>12053.949999999999</v>
      </c>
      <c r="K6" s="18">
        <f>1447.4+10606.55</f>
        <v>12053.949999999999</v>
      </c>
      <c r="L6" s="14">
        <f>J6-K6</f>
        <v>0</v>
      </c>
    </row>
    <row r="7" spans="1:12" x14ac:dyDescent="0.3">
      <c r="A7" s="82"/>
      <c r="B7" s="3" t="s">
        <v>2</v>
      </c>
      <c r="C7" s="23">
        <f>SUM(C8:C11)</f>
        <v>24614</v>
      </c>
      <c r="D7" s="17">
        <f>SUM(D8:D11)</f>
        <v>20626.099999999999</v>
      </c>
      <c r="E7" s="15">
        <f t="shared" ref="E7:E33" si="0">C7-D7</f>
        <v>3987.9000000000015</v>
      </c>
      <c r="F7" s="2"/>
      <c r="G7" s="2"/>
      <c r="H7" s="82"/>
      <c r="I7" s="3" t="s">
        <v>2</v>
      </c>
      <c r="J7" s="23"/>
      <c r="K7" s="17">
        <f>SUM(K8:K11)</f>
        <v>0</v>
      </c>
      <c r="L7" s="15">
        <f t="shared" ref="L7:L11" si="1">J7-K7</f>
        <v>0</v>
      </c>
    </row>
    <row r="8" spans="1:12" x14ac:dyDescent="0.3">
      <c r="A8" s="7" t="s">
        <v>3</v>
      </c>
      <c r="B8" s="4" t="s">
        <v>4</v>
      </c>
      <c r="C8" s="24">
        <v>2000</v>
      </c>
      <c r="D8" s="19"/>
      <c r="E8" s="16">
        <f t="shared" si="0"/>
        <v>2000</v>
      </c>
      <c r="H8" s="7" t="s">
        <v>3</v>
      </c>
      <c r="I8" s="4" t="s">
        <v>4</v>
      </c>
      <c r="J8" s="24"/>
      <c r="K8" s="19"/>
      <c r="L8" s="16">
        <f t="shared" si="1"/>
        <v>0</v>
      </c>
    </row>
    <row r="9" spans="1:12" x14ac:dyDescent="0.3">
      <c r="A9" s="7" t="s">
        <v>5</v>
      </c>
      <c r="B9" s="4" t="s">
        <v>6</v>
      </c>
      <c r="C9" s="24">
        <v>18000</v>
      </c>
      <c r="D9" s="19">
        <f>787.16+787.16+787.16+763.15+763.15+763.15+763.15+716.16+716.16+7816.16+1478.38</f>
        <v>16140.939999999999</v>
      </c>
      <c r="E9" s="16">
        <f t="shared" si="0"/>
        <v>1859.0600000000013</v>
      </c>
      <c r="F9" s="2"/>
      <c r="G9" s="2"/>
      <c r="H9" s="7" t="s">
        <v>5</v>
      </c>
      <c r="I9" s="4" t="s">
        <v>6</v>
      </c>
      <c r="J9" s="24"/>
      <c r="K9" s="19"/>
      <c r="L9" s="16">
        <f t="shared" si="1"/>
        <v>0</v>
      </c>
    </row>
    <row r="10" spans="1:12" x14ac:dyDescent="0.3">
      <c r="A10" s="7" t="s">
        <v>7</v>
      </c>
      <c r="B10" s="4" t="s">
        <v>8</v>
      </c>
      <c r="C10" s="21">
        <v>2114</v>
      </c>
      <c r="D10" s="19">
        <v>2114.64</v>
      </c>
      <c r="E10" s="16">
        <f t="shared" si="0"/>
        <v>-0.63999999999987267</v>
      </c>
      <c r="F10" s="2"/>
      <c r="G10" s="2"/>
      <c r="H10" s="7" t="s">
        <v>7</v>
      </c>
      <c r="I10" s="4" t="s">
        <v>8</v>
      </c>
      <c r="J10" s="21"/>
      <c r="K10" s="19"/>
      <c r="L10" s="16">
        <f t="shared" si="1"/>
        <v>0</v>
      </c>
    </row>
    <row r="11" spans="1:12" x14ac:dyDescent="0.3">
      <c r="A11" s="7" t="s">
        <v>9</v>
      </c>
      <c r="B11" s="4" t="s">
        <v>10</v>
      </c>
      <c r="C11" s="24">
        <v>2500</v>
      </c>
      <c r="D11" s="19">
        <f>406.1+711.39+422.5+166.96+264.93+237.18+161.46</f>
        <v>2370.52</v>
      </c>
      <c r="E11" s="16">
        <f t="shared" si="0"/>
        <v>129.48000000000002</v>
      </c>
      <c r="F11" s="2"/>
      <c r="G11" s="2"/>
      <c r="H11" s="7" t="s">
        <v>9</v>
      </c>
      <c r="I11" s="4" t="s">
        <v>10</v>
      </c>
      <c r="J11" s="24"/>
      <c r="K11" s="19"/>
      <c r="L11" s="16">
        <f t="shared" si="1"/>
        <v>0</v>
      </c>
    </row>
    <row r="12" spans="1:12" x14ac:dyDescent="0.3">
      <c r="A12" s="7"/>
      <c r="B12" s="4"/>
      <c r="C12" s="24"/>
      <c r="D12" s="19"/>
      <c r="E12" s="16"/>
      <c r="H12" s="7"/>
      <c r="I12" s="4"/>
      <c r="J12" s="24"/>
      <c r="K12" s="19"/>
      <c r="L12" s="16"/>
    </row>
    <row r="13" spans="1:12" ht="21" x14ac:dyDescent="0.35">
      <c r="A13" s="7" t="s">
        <v>11</v>
      </c>
      <c r="B13" s="3" t="s">
        <v>12</v>
      </c>
      <c r="C13" s="23">
        <f>SUM(C14:C17)</f>
        <v>127500</v>
      </c>
      <c r="D13" s="23">
        <f>SUM(D14:D17)</f>
        <v>120424.92000000001</v>
      </c>
      <c r="E13" s="15">
        <f>C13-D13</f>
        <v>7075.0799999999872</v>
      </c>
      <c r="G13" s="5"/>
      <c r="H13" s="7" t="s">
        <v>11</v>
      </c>
      <c r="I13" s="3" t="s">
        <v>12</v>
      </c>
      <c r="J13" s="23">
        <f>J14+J15+J16+J17</f>
        <v>2791.84</v>
      </c>
      <c r="K13" s="58">
        <f>SUM(K14:K17)</f>
        <v>2791.84</v>
      </c>
      <c r="L13" s="15">
        <f>J13-K13</f>
        <v>0</v>
      </c>
    </row>
    <row r="14" spans="1:12" ht="21" x14ac:dyDescent="0.35">
      <c r="A14" s="7" t="s">
        <v>13</v>
      </c>
      <c r="B14" s="4" t="s">
        <v>14</v>
      </c>
      <c r="C14" s="24">
        <v>68000</v>
      </c>
      <c r="D14" s="19">
        <f>5169.86+4998.13+4840.13+6224.9+4991.89+4469.06+3805.92+5369.22+5840.33+4860.73+11313.33</f>
        <v>61883.5</v>
      </c>
      <c r="E14" s="16">
        <f>C14-D14</f>
        <v>6116.5</v>
      </c>
      <c r="G14" s="5"/>
      <c r="H14" s="7" t="s">
        <v>13</v>
      </c>
      <c r="I14" s="4" t="s">
        <v>14</v>
      </c>
      <c r="J14" s="60">
        <f>1256.22+165.29</f>
        <v>1421.51</v>
      </c>
      <c r="K14" s="19">
        <f>1256.22+165.29</f>
        <v>1421.51</v>
      </c>
      <c r="L14" s="16">
        <f>J14-K14</f>
        <v>0</v>
      </c>
    </row>
    <row r="15" spans="1:12" ht="21" x14ac:dyDescent="0.35">
      <c r="A15" s="7" t="s">
        <v>15</v>
      </c>
      <c r="B15" s="4" t="s">
        <v>16</v>
      </c>
      <c r="C15" s="24">
        <v>20000</v>
      </c>
      <c r="D15" s="19">
        <f>1683.83+1636.44+1586.23+2022.36+1647.03+1503.6+1307.82+1791.82+1925.02+1630.03+3661.43</f>
        <v>20395.61</v>
      </c>
      <c r="E15" s="16">
        <f>C15-D15</f>
        <v>-395.61000000000058</v>
      </c>
      <c r="G15" s="6"/>
      <c r="H15" s="7" t="s">
        <v>15</v>
      </c>
      <c r="I15" s="4" t="s">
        <v>16</v>
      </c>
      <c r="J15" s="24">
        <f>456.08+43.1</f>
        <v>499.18</v>
      </c>
      <c r="K15" s="19">
        <f>456.08+43.1</f>
        <v>499.18</v>
      </c>
      <c r="L15" s="16">
        <f t="shared" ref="L15:L17" si="2">J15-K15</f>
        <v>0</v>
      </c>
    </row>
    <row r="16" spans="1:12" x14ac:dyDescent="0.3">
      <c r="A16" s="7" t="s">
        <v>17</v>
      </c>
      <c r="B16" s="4" t="s">
        <v>18</v>
      </c>
      <c r="C16" s="24">
        <v>27000</v>
      </c>
      <c r="D16" s="19">
        <f>2114.69+2081.33+2055.75+2532.53+2024.85+1923.37+1654.13+2299.16+2469.49+2017.04+4659.31</f>
        <v>25831.650000000005</v>
      </c>
      <c r="E16" s="16">
        <f t="shared" ref="E16:E17" si="3">C16-D16</f>
        <v>1168.3499999999949</v>
      </c>
      <c r="H16" s="7" t="s">
        <v>17</v>
      </c>
      <c r="I16" s="4" t="s">
        <v>18</v>
      </c>
      <c r="J16" s="24">
        <f>509.11+69.48</f>
        <v>578.59</v>
      </c>
      <c r="K16" s="19">
        <f>509.11+69.48</f>
        <v>578.59</v>
      </c>
      <c r="L16" s="16">
        <f t="shared" si="2"/>
        <v>0</v>
      </c>
    </row>
    <row r="17" spans="1:15" x14ac:dyDescent="0.3">
      <c r="A17" s="7" t="s">
        <v>19</v>
      </c>
      <c r="B17" s="4" t="s">
        <v>20</v>
      </c>
      <c r="C17" s="24">
        <v>12500</v>
      </c>
      <c r="D17" s="19">
        <f>974.32+940.44+931.6+1163.16+908.93+884.03+829.13+1176.79+1231.19+982.13+2292.44</f>
        <v>12314.16</v>
      </c>
      <c r="E17" s="16">
        <f t="shared" si="3"/>
        <v>185.84000000000015</v>
      </c>
      <c r="H17" s="7" t="s">
        <v>19</v>
      </c>
      <c r="I17" s="4" t="s">
        <v>20</v>
      </c>
      <c r="J17" s="24">
        <f>252.03+40.53</f>
        <v>292.56</v>
      </c>
      <c r="K17" s="19">
        <f>252.03+40.53</f>
        <v>292.56</v>
      </c>
      <c r="L17" s="16">
        <f t="shared" si="2"/>
        <v>0</v>
      </c>
    </row>
    <row r="18" spans="1:15" x14ac:dyDescent="0.3">
      <c r="A18" s="47"/>
      <c r="B18" s="4"/>
      <c r="C18" s="24"/>
      <c r="D18" s="19"/>
      <c r="E18" s="16"/>
      <c r="H18" s="47"/>
      <c r="I18" s="4"/>
      <c r="J18" s="24"/>
      <c r="K18" s="19"/>
      <c r="L18" s="16"/>
    </row>
    <row r="19" spans="1:15" x14ac:dyDescent="0.3">
      <c r="A19" s="48" t="s">
        <v>40</v>
      </c>
      <c r="B19" s="4" t="s">
        <v>29</v>
      </c>
      <c r="C19" s="24">
        <f>SUM(C20:C29)</f>
        <v>169202.81</v>
      </c>
      <c r="D19" s="17">
        <f>SUM(D20:D29)</f>
        <v>103768.63</v>
      </c>
      <c r="E19" s="15">
        <f t="shared" si="0"/>
        <v>65434.179999999993</v>
      </c>
      <c r="F19" s="52"/>
      <c r="H19" s="48" t="s">
        <v>40</v>
      </c>
      <c r="I19" s="4" t="s">
        <v>29</v>
      </c>
      <c r="J19" s="24">
        <v>6540</v>
      </c>
      <c r="K19" s="17">
        <f>SUM(K20:K29)</f>
        <v>6538</v>
      </c>
      <c r="L19" s="15">
        <f t="shared" ref="L19:L20" si="4">J19-K19</f>
        <v>2</v>
      </c>
    </row>
    <row r="20" spans="1:15" x14ac:dyDescent="0.3">
      <c r="A20" s="43" t="s">
        <v>21</v>
      </c>
      <c r="B20" s="44" t="s">
        <v>22</v>
      </c>
      <c r="C20" s="45">
        <v>40000</v>
      </c>
      <c r="D20" s="49">
        <f>4034+3509+3792+3943.5+3321+1978.5+464+499.5+1623+4125+3710</f>
        <v>30999.5</v>
      </c>
      <c r="E20" s="16">
        <f t="shared" si="0"/>
        <v>9000.5</v>
      </c>
      <c r="H20" s="43" t="s">
        <v>21</v>
      </c>
      <c r="I20" s="44" t="s">
        <v>22</v>
      </c>
      <c r="J20" s="45"/>
      <c r="K20" s="49"/>
      <c r="L20" s="16">
        <f t="shared" si="4"/>
        <v>0</v>
      </c>
    </row>
    <row r="21" spans="1:15" x14ac:dyDescent="0.3">
      <c r="A21" s="43" t="s">
        <v>41</v>
      </c>
      <c r="B21" s="44" t="s">
        <v>30</v>
      </c>
      <c r="C21" s="45"/>
      <c r="D21" s="46"/>
      <c r="E21" s="15"/>
      <c r="H21" s="43" t="s">
        <v>41</v>
      </c>
      <c r="I21" s="44" t="s">
        <v>30</v>
      </c>
      <c r="J21" s="45"/>
      <c r="K21" s="46"/>
      <c r="L21" s="15"/>
    </row>
    <row r="22" spans="1:15" x14ac:dyDescent="0.3">
      <c r="A22" s="43" t="s">
        <v>42</v>
      </c>
      <c r="B22" s="44" t="s">
        <v>31</v>
      </c>
      <c r="C22" s="45">
        <v>1000</v>
      </c>
      <c r="D22" s="49">
        <v>750</v>
      </c>
      <c r="E22" s="16">
        <f t="shared" si="0"/>
        <v>250</v>
      </c>
      <c r="H22" s="43" t="s">
        <v>42</v>
      </c>
      <c r="I22" s="44" t="s">
        <v>31</v>
      </c>
      <c r="J22" s="45"/>
      <c r="K22" s="49"/>
      <c r="L22" s="16">
        <f t="shared" ref="L22:L23" si="5">J22-K22</f>
        <v>0</v>
      </c>
      <c r="N22" t="s">
        <v>67</v>
      </c>
    </row>
    <row r="23" spans="1:15" x14ac:dyDescent="0.3">
      <c r="A23" s="7" t="s">
        <v>23</v>
      </c>
      <c r="B23" s="12" t="s">
        <v>24</v>
      </c>
      <c r="C23" s="63">
        <v>8171.4</v>
      </c>
      <c r="D23" s="19">
        <v>8171.4</v>
      </c>
      <c r="E23" s="16">
        <f t="shared" si="0"/>
        <v>0</v>
      </c>
      <c r="H23" s="7" t="s">
        <v>23</v>
      </c>
      <c r="I23" s="12" t="s">
        <v>24</v>
      </c>
      <c r="J23" s="21"/>
      <c r="K23" s="19"/>
      <c r="L23" s="16">
        <f t="shared" si="5"/>
        <v>0</v>
      </c>
      <c r="N23">
        <v>1765.8</v>
      </c>
      <c r="O23">
        <f>N23*40%</f>
        <v>706.32</v>
      </c>
    </row>
    <row r="24" spans="1:15" x14ac:dyDescent="0.3">
      <c r="A24" s="7" t="s">
        <v>32</v>
      </c>
      <c r="B24" s="12" t="s">
        <v>33</v>
      </c>
      <c r="C24" s="24">
        <f>15000+22458+3500</f>
        <v>40958</v>
      </c>
      <c r="D24" s="61">
        <f>688+323.4+1373.4+858+239.38+1458.38-120-162+794+1187.03+606+103+1397.69</f>
        <v>8746.2800000000007</v>
      </c>
      <c r="E24" s="16">
        <f>C24-D24</f>
        <v>32211.72</v>
      </c>
      <c r="H24" s="7" t="s">
        <v>32</v>
      </c>
      <c r="I24" s="12" t="s">
        <v>33</v>
      </c>
      <c r="J24" s="24">
        <v>6540</v>
      </c>
      <c r="K24" s="19">
        <f>282+6376-120</f>
        <v>6538</v>
      </c>
      <c r="L24" s="16">
        <f>J24-K24</f>
        <v>2</v>
      </c>
      <c r="O24">
        <f>N23*30%</f>
        <v>529.74</v>
      </c>
    </row>
    <row r="25" spans="1:15" x14ac:dyDescent="0.3">
      <c r="A25" s="7" t="s">
        <v>34</v>
      </c>
      <c r="B25" s="4" t="s">
        <v>35</v>
      </c>
      <c r="C25" s="24">
        <v>20000</v>
      </c>
      <c r="D25" s="19">
        <f>234.8+293.18+298.57+191.75+243.66+182.85+163.52+10620.31+102.42+33.55+155.72+715.07</f>
        <v>13235.399999999998</v>
      </c>
      <c r="E25" s="16">
        <f>C25-D25</f>
        <v>6764.6000000000022</v>
      </c>
      <c r="H25" s="7" t="s">
        <v>34</v>
      </c>
      <c r="I25" s="4" t="s">
        <v>35</v>
      </c>
      <c r="J25" s="24"/>
      <c r="K25" s="19"/>
      <c r="L25" s="16">
        <f>J25-K25</f>
        <v>0</v>
      </c>
      <c r="O25">
        <f>N23*30%</f>
        <v>529.74</v>
      </c>
    </row>
    <row r="26" spans="1:15" x14ac:dyDescent="0.3">
      <c r="A26" s="42" t="s">
        <v>44</v>
      </c>
      <c r="B26" s="12" t="s">
        <v>25</v>
      </c>
      <c r="C26" s="60">
        <f>20000+3191.71+11000+2344.08+603+5702.4+847.04+1757.18+2128</f>
        <v>47573.41</v>
      </c>
      <c r="D26" s="19">
        <f>1793.47+1761.94+1970.64+4619.57+2074.24+5054.83+14603.58+357.71+1758.79+1079.45+1694.97+1434.86</f>
        <v>38204.049999999996</v>
      </c>
      <c r="E26" s="15">
        <f t="shared" si="0"/>
        <v>9369.3600000000079</v>
      </c>
      <c r="H26" s="42" t="s">
        <v>44</v>
      </c>
      <c r="I26" s="12" t="s">
        <v>25</v>
      </c>
      <c r="J26" s="24"/>
      <c r="K26" s="19"/>
      <c r="L26" s="15">
        <f t="shared" ref="L26:L28" si="6">J26-K26</f>
        <v>0</v>
      </c>
    </row>
    <row r="27" spans="1:15" x14ac:dyDescent="0.3">
      <c r="A27" s="42" t="s">
        <v>36</v>
      </c>
      <c r="B27" s="12" t="s">
        <v>37</v>
      </c>
      <c r="C27" s="24">
        <v>10000</v>
      </c>
      <c r="D27" s="19">
        <v>2800</v>
      </c>
      <c r="E27" s="16">
        <f t="shared" si="0"/>
        <v>7200</v>
      </c>
      <c r="H27" s="42" t="s">
        <v>36</v>
      </c>
      <c r="I27" s="12" t="s">
        <v>37</v>
      </c>
      <c r="J27" s="24"/>
      <c r="K27" s="19"/>
      <c r="L27" s="16">
        <f t="shared" si="6"/>
        <v>0</v>
      </c>
    </row>
    <row r="28" spans="1:15" x14ac:dyDescent="0.3">
      <c r="A28" s="42" t="s">
        <v>45</v>
      </c>
      <c r="B28" s="12" t="s">
        <v>38</v>
      </c>
      <c r="C28" s="24">
        <v>1500</v>
      </c>
      <c r="D28" s="19">
        <f>100+40+120+100+138+206+50+68+40</f>
        <v>862</v>
      </c>
      <c r="E28" s="16">
        <f t="shared" si="0"/>
        <v>638</v>
      </c>
      <c r="H28" s="42" t="s">
        <v>45</v>
      </c>
      <c r="I28" s="12" t="s">
        <v>38</v>
      </c>
      <c r="J28" s="24"/>
      <c r="K28" s="19"/>
      <c r="L28" s="16">
        <f t="shared" si="6"/>
        <v>0</v>
      </c>
    </row>
    <row r="29" spans="1:15" x14ac:dyDescent="0.3">
      <c r="A29" s="42" t="s">
        <v>46</v>
      </c>
      <c r="B29" s="12" t="s">
        <v>49</v>
      </c>
      <c r="C29" s="24"/>
      <c r="D29" s="19"/>
      <c r="E29" s="16"/>
      <c r="H29" s="42" t="s">
        <v>46</v>
      </c>
      <c r="I29" s="12" t="s">
        <v>49</v>
      </c>
      <c r="J29" s="24"/>
      <c r="K29" s="19"/>
      <c r="L29" s="16"/>
    </row>
    <row r="30" spans="1:15" x14ac:dyDescent="0.3">
      <c r="A30" s="42" t="s">
        <v>47</v>
      </c>
      <c r="B30" s="12" t="s">
        <v>50</v>
      </c>
      <c r="C30" s="24">
        <v>300</v>
      </c>
      <c r="D30" s="19">
        <v>214.97</v>
      </c>
      <c r="E30" s="16">
        <f t="shared" si="0"/>
        <v>85.03</v>
      </c>
      <c r="H30" s="42" t="s">
        <v>47</v>
      </c>
      <c r="I30" s="12" t="s">
        <v>50</v>
      </c>
      <c r="J30" s="24"/>
      <c r="K30" s="19"/>
      <c r="L30" s="16">
        <f t="shared" ref="L30:L33" si="7">J30-K30</f>
        <v>0</v>
      </c>
    </row>
    <row r="31" spans="1:15" x14ac:dyDescent="0.3">
      <c r="A31" s="7" t="s">
        <v>48</v>
      </c>
      <c r="B31" s="12" t="s">
        <v>51</v>
      </c>
      <c r="C31" s="24"/>
      <c r="D31" s="19"/>
      <c r="E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7"/>
        <v>0</v>
      </c>
    </row>
    <row r="32" spans="1:15" x14ac:dyDescent="0.3">
      <c r="A32" s="13" t="s">
        <v>26</v>
      </c>
      <c r="B32" s="12" t="s">
        <v>27</v>
      </c>
      <c r="C32" s="25">
        <f>15044-603-5702.4</f>
        <v>8738.6</v>
      </c>
      <c r="D32" s="19"/>
      <c r="E32" s="16">
        <f t="shared" si="0"/>
        <v>8738.6</v>
      </c>
      <c r="H32" s="13" t="s">
        <v>61</v>
      </c>
      <c r="I32" s="12" t="s">
        <v>62</v>
      </c>
      <c r="J32" s="25">
        <f>10301+5430+5656</f>
        <v>21387</v>
      </c>
      <c r="K32" s="19"/>
      <c r="L32" s="16">
        <f t="shared" si="7"/>
        <v>21387</v>
      </c>
    </row>
    <row r="33" spans="1:14" x14ac:dyDescent="0.3">
      <c r="C33" s="24"/>
      <c r="D33" s="19"/>
      <c r="E33" s="16">
        <f t="shared" si="0"/>
        <v>0</v>
      </c>
      <c r="J33" s="24"/>
      <c r="K33" s="19"/>
      <c r="L33" s="16">
        <f t="shared" si="7"/>
        <v>0</v>
      </c>
      <c r="N33" s="57">
        <f>L32-K34</f>
        <v>3.2099999999991269</v>
      </c>
    </row>
    <row r="34" spans="1:14" x14ac:dyDescent="0.3">
      <c r="B34" t="s">
        <v>28</v>
      </c>
      <c r="C34" s="26">
        <f>C6+C7+C13+C19+C30+C31</f>
        <v>872407.12999999989</v>
      </c>
      <c r="D34" s="55">
        <f>D6+D7+D13+D19+D30+D31</f>
        <v>771207.25</v>
      </c>
      <c r="E34" s="26">
        <f>E6+E7+E13+E19+E30+E31</f>
        <v>101199.87999999992</v>
      </c>
      <c r="I34" t="s">
        <v>28</v>
      </c>
      <c r="J34" s="26">
        <f>J6+J7+J13+J19+J30+J31</f>
        <v>21385.79</v>
      </c>
      <c r="K34" s="55">
        <f>K6+K7+K13+K19+K30+K31</f>
        <v>21383.79</v>
      </c>
      <c r="L34" s="26">
        <f>L6+L7+L13+L19+L30+L31</f>
        <v>2</v>
      </c>
    </row>
    <row r="35" spans="1:14" x14ac:dyDescent="0.3">
      <c r="C35" s="50"/>
      <c r="D35" s="20"/>
      <c r="J35" s="50"/>
      <c r="K35" s="20"/>
    </row>
    <row r="36" spans="1:14" x14ac:dyDescent="0.3">
      <c r="A36" s="1" t="s">
        <v>53</v>
      </c>
      <c r="C36" s="50"/>
      <c r="D36" s="56" t="s">
        <v>54</v>
      </c>
      <c r="F36" s="2"/>
      <c r="H36" s="1" t="s">
        <v>53</v>
      </c>
      <c r="J36" s="50"/>
      <c r="K36" s="56" t="s">
        <v>54</v>
      </c>
    </row>
    <row r="37" spans="1:14" x14ac:dyDescent="0.3">
      <c r="C37" s="50"/>
      <c r="D37" s="20"/>
      <c r="F37" s="2"/>
      <c r="J37" s="50"/>
      <c r="K37" s="20"/>
    </row>
    <row r="38" spans="1:14" s="28" customFormat="1" x14ac:dyDescent="0.3">
      <c r="D38" s="29"/>
      <c r="E38" s="62"/>
      <c r="F38" s="53"/>
      <c r="K38" s="29"/>
    </row>
    <row r="39" spans="1:14" s="28" customFormat="1" ht="21" x14ac:dyDescent="0.35">
      <c r="A39" s="83"/>
      <c r="B39" s="83"/>
      <c r="C39" s="30"/>
      <c r="D39" s="31"/>
      <c r="E39" s="32"/>
      <c r="F39" s="53"/>
      <c r="H39" s="83"/>
      <c r="I39" s="83"/>
      <c r="J39" s="30"/>
      <c r="K39" s="31"/>
      <c r="L39" s="32"/>
    </row>
    <row r="40" spans="1:14" s="28" customFormat="1" x14ac:dyDescent="0.3">
      <c r="B40" s="27"/>
      <c r="C40" s="33"/>
      <c r="D40" s="34"/>
      <c r="E40" s="35"/>
      <c r="F40" s="53"/>
      <c r="I40" s="27"/>
      <c r="J40" s="33"/>
      <c r="K40" s="34"/>
      <c r="L40" s="35"/>
    </row>
    <row r="41" spans="1:14" s="28" customFormat="1" x14ac:dyDescent="0.3">
      <c r="B41" s="27"/>
      <c r="C41" s="36"/>
      <c r="D41" s="37"/>
      <c r="E41" s="35"/>
      <c r="F41" s="53"/>
      <c r="I41" s="27"/>
      <c r="J41" s="36"/>
      <c r="K41" s="37"/>
      <c r="L41" s="35"/>
    </row>
    <row r="42" spans="1:14" s="28" customFormat="1" x14ac:dyDescent="0.3">
      <c r="B42" s="27"/>
      <c r="C42" s="36"/>
      <c r="D42" s="37"/>
      <c r="E42" s="35"/>
      <c r="F42" s="53"/>
      <c r="I42" s="27"/>
      <c r="J42" s="36"/>
      <c r="K42" s="37"/>
      <c r="L42" s="35"/>
    </row>
    <row r="43" spans="1:14" s="28" customFormat="1" x14ac:dyDescent="0.3">
      <c r="B43" s="27"/>
      <c r="C43" s="36"/>
      <c r="D43" s="37"/>
      <c r="E43" s="35"/>
      <c r="F43" s="53"/>
      <c r="I43" s="27"/>
      <c r="J43" s="36"/>
      <c r="K43" s="37"/>
      <c r="L43" s="35"/>
    </row>
    <row r="44" spans="1:14" s="28" customFormat="1" x14ac:dyDescent="0.3">
      <c r="B44" s="27"/>
      <c r="C44" s="36"/>
      <c r="D44" s="37"/>
      <c r="E44" s="35"/>
      <c r="F44" s="53"/>
      <c r="I44" s="27"/>
      <c r="J44" s="36"/>
      <c r="K44" s="37"/>
      <c r="L44" s="35"/>
    </row>
    <row r="45" spans="1:14" s="28" customFormat="1" x14ac:dyDescent="0.3">
      <c r="B45" s="27"/>
      <c r="C45" s="36"/>
      <c r="D45" s="37"/>
      <c r="E45" s="35"/>
      <c r="F45" s="53"/>
      <c r="I45" s="27"/>
      <c r="J45" s="36"/>
      <c r="K45" s="37"/>
      <c r="L45" s="35"/>
    </row>
    <row r="46" spans="1:14" s="28" customFormat="1" x14ac:dyDescent="0.3">
      <c r="B46" s="27"/>
      <c r="C46" s="36"/>
      <c r="D46" s="37"/>
      <c r="E46" s="35"/>
      <c r="F46" s="53"/>
      <c r="I46" s="27"/>
      <c r="J46" s="36"/>
      <c r="K46" s="37"/>
      <c r="L46" s="35"/>
    </row>
    <row r="47" spans="1:14" s="28" customFormat="1" x14ac:dyDescent="0.3">
      <c r="B47" s="27"/>
      <c r="C47" s="36"/>
      <c r="D47" s="37"/>
      <c r="E47" s="35"/>
      <c r="F47" s="53"/>
      <c r="I47" s="27"/>
      <c r="J47" s="36"/>
      <c r="K47" s="37"/>
      <c r="L47" s="35"/>
    </row>
    <row r="48" spans="1:14" s="28" customFormat="1" x14ac:dyDescent="0.3">
      <c r="B48" s="27"/>
      <c r="C48" s="36"/>
      <c r="D48" s="37"/>
      <c r="E48" s="35"/>
      <c r="F48" s="54"/>
      <c r="I48" s="27"/>
      <c r="J48" s="36"/>
      <c r="K48" s="37"/>
      <c r="L48" s="35"/>
    </row>
    <row r="49" spans="1:12" s="28" customFormat="1" x14ac:dyDescent="0.3">
      <c r="B49" s="27"/>
      <c r="C49" s="36"/>
      <c r="D49" s="37"/>
      <c r="E49" s="35"/>
      <c r="F49" s="53"/>
      <c r="I49" s="27"/>
      <c r="J49" s="36"/>
      <c r="K49" s="37"/>
      <c r="L49" s="35"/>
    </row>
    <row r="50" spans="1:12" s="28" customFormat="1" x14ac:dyDescent="0.3">
      <c r="B50" s="27"/>
      <c r="C50" s="36"/>
      <c r="D50" s="37"/>
      <c r="E50" s="35"/>
      <c r="F50" s="53"/>
      <c r="I50" s="27"/>
      <c r="J50" s="36"/>
      <c r="K50" s="37"/>
      <c r="L50" s="35"/>
    </row>
    <row r="51" spans="1:12" s="28" customFormat="1" x14ac:dyDescent="0.3">
      <c r="B51" s="27"/>
      <c r="C51" s="36"/>
      <c r="D51" s="37"/>
      <c r="E51" s="35"/>
      <c r="F51" s="53"/>
      <c r="I51" s="27"/>
      <c r="J51" s="36"/>
      <c r="K51" s="37"/>
      <c r="L51" s="35"/>
    </row>
    <row r="52" spans="1:12" s="28" customFormat="1" x14ac:dyDescent="0.3">
      <c r="B52" s="27"/>
      <c r="C52" s="36"/>
      <c r="D52" s="37"/>
      <c r="E52" s="35"/>
      <c r="F52" s="53"/>
      <c r="I52" s="27"/>
      <c r="J52" s="36"/>
      <c r="K52" s="37"/>
      <c r="L52" s="35"/>
    </row>
    <row r="53" spans="1:12" s="28" customFormat="1" x14ac:dyDescent="0.3">
      <c r="C53" s="33"/>
      <c r="D53" s="34"/>
      <c r="E53" s="35"/>
      <c r="F53" s="53"/>
      <c r="J53" s="33"/>
      <c r="K53" s="34"/>
      <c r="L53" s="35"/>
    </row>
    <row r="54" spans="1:12" s="28" customFormat="1" x14ac:dyDescent="0.3">
      <c r="C54" s="35"/>
      <c r="D54" s="34"/>
      <c r="E54" s="35"/>
      <c r="F54" s="53"/>
      <c r="J54" s="35"/>
      <c r="K54" s="34"/>
      <c r="L54" s="35"/>
    </row>
    <row r="55" spans="1:12" s="28" customFormat="1" x14ac:dyDescent="0.3">
      <c r="C55" s="35"/>
      <c r="D55" s="34"/>
      <c r="E55" s="35"/>
      <c r="F55" s="53"/>
      <c r="J55" s="35"/>
      <c r="K55" s="34"/>
      <c r="L55" s="35"/>
    </row>
    <row r="56" spans="1:12" s="28" customFormat="1" x14ac:dyDescent="0.3">
      <c r="A56" s="39"/>
      <c r="C56" s="40"/>
      <c r="D56" s="27"/>
      <c r="F56" s="53"/>
      <c r="H56" s="39"/>
      <c r="J56" s="40"/>
      <c r="K56" s="27"/>
    </row>
    <row r="57" spans="1:12" s="28" customFormat="1" x14ac:dyDescent="0.3">
      <c r="C57" s="41"/>
      <c r="D57" s="41"/>
      <c r="F57" s="53"/>
      <c r="J57" s="41"/>
      <c r="K57" s="41"/>
    </row>
    <row r="58" spans="1:12" s="28" customFormat="1" x14ac:dyDescent="0.3">
      <c r="A58" s="38"/>
      <c r="B58" s="27"/>
      <c r="C58" s="27"/>
      <c r="D58" s="27"/>
      <c r="F58" s="53"/>
      <c r="H58" s="38"/>
      <c r="I58" s="27"/>
      <c r="J58" s="27"/>
      <c r="K58" s="27"/>
    </row>
    <row r="59" spans="1:12" s="28" customFormat="1" x14ac:dyDescent="0.3">
      <c r="B59" s="27"/>
      <c r="C59" s="27"/>
      <c r="D59" s="27"/>
      <c r="F59" s="53"/>
      <c r="I59" s="27"/>
      <c r="J59" s="27"/>
      <c r="K59" s="27"/>
    </row>
    <row r="60" spans="1:12" s="28" customFormat="1" x14ac:dyDescent="0.3">
      <c r="B60" s="27"/>
      <c r="C60" s="27"/>
      <c r="D60" s="27"/>
      <c r="F60" s="53"/>
      <c r="I60" s="27"/>
      <c r="J60" s="27"/>
      <c r="K60" s="27"/>
    </row>
    <row r="61" spans="1:12" s="28" customFormat="1" x14ac:dyDescent="0.3">
      <c r="A61" s="38"/>
      <c r="B61" s="27"/>
      <c r="C61" s="27"/>
      <c r="D61" s="27"/>
      <c r="F61" s="53"/>
      <c r="H61" s="38"/>
      <c r="I61" s="27"/>
      <c r="J61" s="27"/>
      <c r="K61" s="27"/>
    </row>
    <row r="62" spans="1:12" s="28" customFormat="1" x14ac:dyDescent="0.3">
      <c r="A62" s="38"/>
      <c r="B62" s="27"/>
      <c r="C62" s="27"/>
      <c r="D62" s="27"/>
      <c r="F62" s="53"/>
      <c r="H62" s="38"/>
      <c r="I62" s="27"/>
      <c r="J62" s="27"/>
      <c r="K62" s="27"/>
    </row>
    <row r="63" spans="1:12" s="28" customFormat="1" x14ac:dyDescent="0.3">
      <c r="A63" s="38"/>
      <c r="B63" s="27"/>
      <c r="C63" s="27"/>
      <c r="D63" s="27"/>
      <c r="F63" s="53"/>
      <c r="H63" s="38"/>
      <c r="I63" s="27"/>
      <c r="J63" s="27"/>
      <c r="K63" s="27"/>
    </row>
    <row r="64" spans="1:12" s="28" customFormat="1" x14ac:dyDescent="0.3">
      <c r="A64" s="38"/>
      <c r="B64" s="27"/>
      <c r="C64" s="27"/>
      <c r="D64" s="27"/>
      <c r="F64" s="53"/>
      <c r="H64" s="38"/>
      <c r="I64" s="27"/>
      <c r="J64" s="27"/>
      <c r="K64" s="27"/>
    </row>
    <row r="65" spans="6:6" s="28" customFormat="1" x14ac:dyDescent="0.3">
      <c r="F65" s="53"/>
    </row>
  </sheetData>
  <mergeCells count="6">
    <mergeCell ref="A5:B5"/>
    <mergeCell ref="H5:I5"/>
    <mergeCell ref="A6:A7"/>
    <mergeCell ref="H6:H7"/>
    <mergeCell ref="A39:B39"/>
    <mergeCell ref="H39:I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14</vt:i4>
      </vt:variant>
      <vt:variant>
        <vt:lpstr>Наименувани диапазони</vt:lpstr>
      </vt:variant>
      <vt:variant>
        <vt:i4>5</vt:i4>
      </vt:variant>
    </vt:vector>
  </HeadingPairs>
  <TitlesOfParts>
    <vt:vector size="19" baseType="lpstr">
      <vt:lpstr>ЩАТНО</vt:lpstr>
      <vt:lpstr>Б-2025</vt:lpstr>
      <vt:lpstr>31.01.25</vt:lpstr>
      <vt:lpstr>28.02.25</vt:lpstr>
      <vt:lpstr>31.03.25</vt:lpstr>
      <vt:lpstr>30.04.24</vt:lpstr>
      <vt:lpstr>31.05.24</vt:lpstr>
      <vt:lpstr>30.06.24</vt:lpstr>
      <vt:lpstr>31.07.24</vt:lpstr>
      <vt:lpstr>31.08.24</vt:lpstr>
      <vt:lpstr>30.09.24</vt:lpstr>
      <vt:lpstr>31.10.24</vt:lpstr>
      <vt:lpstr>30.11.24</vt:lpstr>
      <vt:lpstr>31.12.24</vt:lpstr>
      <vt:lpstr>'28.02.25'!Област_печат</vt:lpstr>
      <vt:lpstr>'30.04.24'!Област_печат</vt:lpstr>
      <vt:lpstr>'31.01.25'!Област_печат</vt:lpstr>
      <vt:lpstr>'31.03.25'!Област_печат</vt:lpstr>
      <vt:lpstr>'Б-2025'!Област_печат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Borislava Ignatova</cp:lastModifiedBy>
  <cp:lastPrinted>2025-04-09T11:44:04Z</cp:lastPrinted>
  <dcterms:created xsi:type="dcterms:W3CDTF">2020-06-11T08:07:16Z</dcterms:created>
  <dcterms:modified xsi:type="dcterms:W3CDTF">2025-05-07T06:20:41Z</dcterms:modified>
</cp:coreProperties>
</file>