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ОУ-Джурово\ФИШ_2026\"/>
    </mc:Choice>
  </mc:AlternateContent>
  <bookViews>
    <workbookView xWindow="0" yWindow="0" windowWidth="28770" windowHeight="12300" tabRatio="701" activeTab="5"/>
  </bookViews>
  <sheets>
    <sheet name="Лист2" sheetId="35" r:id="rId1"/>
    <sheet name="ЩАТНО" sheetId="33" r:id="rId2"/>
    <sheet name="Б-2025" sheetId="18" r:id="rId3"/>
    <sheet name="31.01.26" sheetId="21" r:id="rId4"/>
    <sheet name="28.02.26" sheetId="19" r:id="rId5"/>
    <sheet name="31.03.26" sheetId="20" r:id="rId6"/>
    <sheet name="30.04.2025" sheetId="24" r:id="rId7"/>
    <sheet name="31.05.25" sheetId="25" r:id="rId8"/>
    <sheet name="30.06.25" sheetId="26" r:id="rId9"/>
    <sheet name="31.07.25" sheetId="27" r:id="rId10"/>
    <sheet name="31.08.25" sheetId="28" r:id="rId11"/>
    <sheet name="30.09.25" sheetId="29" r:id="rId12"/>
    <sheet name="31.10.25" sheetId="30" r:id="rId13"/>
    <sheet name="30.11.25" sheetId="31" r:id="rId14"/>
    <sheet name="31.12.25" sheetId="32" r:id="rId15"/>
    <sheet name="Лист1" sheetId="34" r:id="rId16"/>
  </sheets>
  <definedNames>
    <definedName name="_xlnm.Print_Area" localSheetId="4">'28.02.26'!$A$1:$X$40</definedName>
    <definedName name="_xlnm.Print_Area" localSheetId="6">'30.04.2025'!$A$1:$F$38</definedName>
    <definedName name="_xlnm.Print_Area" localSheetId="11">'30.09.25'!$A$1:$R$40</definedName>
    <definedName name="_xlnm.Print_Area" localSheetId="3">'31.01.26'!$A$1:$M$39</definedName>
    <definedName name="_xlnm.Print_Area" localSheetId="5">'31.03.26'!$A$1:$X$40</definedName>
    <definedName name="_xlnm.Print_Area" localSheetId="14">'31.12.25'!$A$1:$R$40</definedName>
    <definedName name="_xlnm.Print_Area" localSheetId="2">'Б-2025'!$A$1:$D$42</definedName>
  </definedNames>
  <calcPr calcId="162913"/>
</workbook>
</file>

<file path=xl/calcChain.xml><?xml version="1.0" encoding="utf-8"?>
<calcChain xmlns="http://schemas.openxmlformats.org/spreadsheetml/2006/main">
  <c r="J34" i="20" l="1"/>
  <c r="J32" i="20"/>
  <c r="E19" i="20"/>
  <c r="E19" i="26"/>
  <c r="E28" i="20"/>
  <c r="F28" i="20" s="1"/>
  <c r="E26" i="20"/>
  <c r="E25" i="20"/>
  <c r="E24" i="20"/>
  <c r="E20" i="20"/>
  <c r="E17" i="20"/>
  <c r="E16" i="20"/>
  <c r="E15" i="20"/>
  <c r="E14" i="20"/>
  <c r="E11" i="20"/>
  <c r="E9" i="20"/>
  <c r="E6" i="20"/>
  <c r="K24" i="20"/>
  <c r="B56" i="20"/>
  <c r="C41" i="20"/>
  <c r="D36" i="20"/>
  <c r="B58" i="20" s="1"/>
  <c r="C36" i="20"/>
  <c r="V35" i="20"/>
  <c r="P35" i="20"/>
  <c r="F35" i="20"/>
  <c r="W34" i="20"/>
  <c r="X32" i="20" s="1"/>
  <c r="V34" i="20"/>
  <c r="P34" i="20"/>
  <c r="F34" i="20"/>
  <c r="X33" i="20"/>
  <c r="R33" i="20"/>
  <c r="L33" i="20"/>
  <c r="F33" i="20"/>
  <c r="P32" i="20"/>
  <c r="F32" i="20"/>
  <c r="X31" i="20"/>
  <c r="R31" i="20"/>
  <c r="L31" i="20"/>
  <c r="F31" i="20"/>
  <c r="V30" i="20"/>
  <c r="X30" i="20" s="1"/>
  <c r="R30" i="20"/>
  <c r="Q30" i="20"/>
  <c r="P30" i="20"/>
  <c r="L30" i="20"/>
  <c r="F30" i="20"/>
  <c r="V29" i="20"/>
  <c r="X29" i="20" s="1"/>
  <c r="Q29" i="20"/>
  <c r="P29" i="20"/>
  <c r="R29" i="20" s="1"/>
  <c r="V28" i="20"/>
  <c r="X28" i="20" s="1"/>
  <c r="R28" i="20"/>
  <c r="Q28" i="20"/>
  <c r="P28" i="20"/>
  <c r="L28" i="20"/>
  <c r="V27" i="20"/>
  <c r="X27" i="20" s="1"/>
  <c r="P27" i="20"/>
  <c r="R27" i="20" s="1"/>
  <c r="L27" i="20"/>
  <c r="F27" i="20"/>
  <c r="X26" i="20"/>
  <c r="R26" i="20"/>
  <c r="K26" i="20"/>
  <c r="L26" i="20" s="1"/>
  <c r="X25" i="20"/>
  <c r="R25" i="20"/>
  <c r="L25" i="20"/>
  <c r="F25" i="20"/>
  <c r="V24" i="20"/>
  <c r="X24" i="20" s="1"/>
  <c r="R24" i="20"/>
  <c r="Q24" i="20"/>
  <c r="Q34" i="20" s="1"/>
  <c r="P24" i="20"/>
  <c r="L24" i="20"/>
  <c r="F24" i="20"/>
  <c r="X23" i="20"/>
  <c r="R23" i="20"/>
  <c r="L23" i="20"/>
  <c r="F23" i="20"/>
  <c r="X22" i="20"/>
  <c r="R22" i="20"/>
  <c r="L22" i="20"/>
  <c r="F22" i="20"/>
  <c r="X20" i="20"/>
  <c r="R20" i="20"/>
  <c r="L20" i="20"/>
  <c r="F20" i="20"/>
  <c r="X19" i="20"/>
  <c r="R19" i="20"/>
  <c r="X17" i="20"/>
  <c r="R17" i="20"/>
  <c r="L17" i="20"/>
  <c r="F17" i="20"/>
  <c r="X16" i="20"/>
  <c r="R16" i="20"/>
  <c r="L16" i="20"/>
  <c r="F16" i="20"/>
  <c r="X15" i="20"/>
  <c r="R15" i="20"/>
  <c r="L15" i="20"/>
  <c r="F15" i="20"/>
  <c r="X14" i="20"/>
  <c r="R14" i="20"/>
  <c r="L14" i="20"/>
  <c r="F14" i="20"/>
  <c r="X13" i="20"/>
  <c r="R13" i="20"/>
  <c r="L13" i="20"/>
  <c r="X11" i="20"/>
  <c r="R11" i="20"/>
  <c r="L11" i="20"/>
  <c r="F11" i="20"/>
  <c r="X10" i="20"/>
  <c r="R10" i="20"/>
  <c r="L10" i="20"/>
  <c r="F10" i="20"/>
  <c r="X9" i="20"/>
  <c r="R9" i="20"/>
  <c r="L9" i="20"/>
  <c r="E7" i="20"/>
  <c r="F7" i="20" s="1"/>
  <c r="X8" i="20"/>
  <c r="R8" i="20"/>
  <c r="L8" i="20"/>
  <c r="F8" i="20"/>
  <c r="X7" i="20"/>
  <c r="R7" i="20"/>
  <c r="L7" i="20"/>
  <c r="X6" i="20"/>
  <c r="R6" i="20"/>
  <c r="L6" i="20"/>
  <c r="F6" i="20"/>
  <c r="F19" i="20" l="1"/>
  <c r="E13" i="20"/>
  <c r="F13" i="20" s="1"/>
  <c r="E36" i="20"/>
  <c r="F36" i="20"/>
  <c r="R34" i="20"/>
  <c r="R32" i="20"/>
  <c r="F9" i="20"/>
  <c r="K19" i="20"/>
  <c r="F26" i="20"/>
  <c r="X34" i="20"/>
  <c r="V35" i="19"/>
  <c r="V34" i="19"/>
  <c r="X33" i="19"/>
  <c r="X31" i="19"/>
  <c r="X30" i="19"/>
  <c r="V30" i="19"/>
  <c r="X29" i="19"/>
  <c r="V29" i="19"/>
  <c r="V28" i="19"/>
  <c r="X28" i="19" s="1"/>
  <c r="X27" i="19"/>
  <c r="V27" i="19"/>
  <c r="X26" i="19"/>
  <c r="X25" i="19"/>
  <c r="W34" i="19"/>
  <c r="V24" i="19"/>
  <c r="X24" i="19" s="1"/>
  <c r="X23" i="19"/>
  <c r="X22" i="19"/>
  <c r="X20" i="19"/>
  <c r="X19" i="19"/>
  <c r="X17" i="19"/>
  <c r="X16" i="19"/>
  <c r="X15" i="19"/>
  <c r="X14" i="19"/>
  <c r="X13" i="19"/>
  <c r="X11" i="19"/>
  <c r="X10" i="19"/>
  <c r="X9" i="19"/>
  <c r="X8" i="19"/>
  <c r="X7" i="19"/>
  <c r="X6" i="19"/>
  <c r="K34" i="20" l="1"/>
  <c r="L19" i="20"/>
  <c r="X32" i="19"/>
  <c r="X34" i="19"/>
  <c r="R32" i="19"/>
  <c r="L32" i="20" l="1"/>
  <c r="L34" i="20"/>
  <c r="E20" i="19"/>
  <c r="E19" i="19" s="1"/>
  <c r="E36" i="19" s="1"/>
  <c r="E7" i="19"/>
  <c r="E13" i="19"/>
  <c r="E26" i="19" l="1"/>
  <c r="E25" i="19"/>
  <c r="E24" i="19"/>
  <c r="E17" i="19"/>
  <c r="E16" i="19"/>
  <c r="F16" i="19" s="1"/>
  <c r="E15" i="19"/>
  <c r="E14" i="19"/>
  <c r="E11" i="19"/>
  <c r="E9" i="19"/>
  <c r="E6" i="19"/>
  <c r="R34" i="19"/>
  <c r="P35" i="19"/>
  <c r="Q34" i="19"/>
  <c r="P27" i="19"/>
  <c r="P32" i="19"/>
  <c r="Q30" i="19"/>
  <c r="P34" i="19"/>
  <c r="Q29" i="19"/>
  <c r="R29" i="19" s="1"/>
  <c r="Q28" i="19"/>
  <c r="P30" i="19"/>
  <c r="P29" i="19"/>
  <c r="P28" i="19"/>
  <c r="Q24" i="19"/>
  <c r="P24" i="19"/>
  <c r="J34" i="19"/>
  <c r="K26" i="19"/>
  <c r="K24" i="19"/>
  <c r="B56" i="19"/>
  <c r="C41" i="19"/>
  <c r="D36" i="19"/>
  <c r="B58" i="19" s="1"/>
  <c r="C36" i="19"/>
  <c r="F35" i="19"/>
  <c r="F34" i="19"/>
  <c r="R33" i="19"/>
  <c r="L33" i="19"/>
  <c r="F33" i="19"/>
  <c r="F32" i="19"/>
  <c r="R31" i="19"/>
  <c r="L31" i="19"/>
  <c r="F31" i="19"/>
  <c r="R30" i="19"/>
  <c r="L30" i="19"/>
  <c r="F30" i="19"/>
  <c r="R28" i="19"/>
  <c r="L28" i="19"/>
  <c r="F28" i="19"/>
  <c r="R27" i="19"/>
  <c r="L27" i="19"/>
  <c r="F27" i="19"/>
  <c r="R26" i="19"/>
  <c r="L26" i="19"/>
  <c r="F26" i="19"/>
  <c r="R25" i="19"/>
  <c r="L25" i="19"/>
  <c r="F25" i="19"/>
  <c r="R24" i="19"/>
  <c r="L24" i="19"/>
  <c r="F24" i="19"/>
  <c r="R23" i="19"/>
  <c r="L23" i="19"/>
  <c r="F23" i="19"/>
  <c r="R22" i="19"/>
  <c r="L22" i="19"/>
  <c r="F22" i="19"/>
  <c r="R20" i="19"/>
  <c r="L20" i="19"/>
  <c r="R19" i="19"/>
  <c r="K19" i="19"/>
  <c r="K34" i="19" s="1"/>
  <c r="L32" i="19" s="1"/>
  <c r="R17" i="19"/>
  <c r="L17" i="19"/>
  <c r="F17" i="19"/>
  <c r="R16" i="19"/>
  <c r="L16" i="19"/>
  <c r="R15" i="19"/>
  <c r="L15" i="19"/>
  <c r="F15" i="19"/>
  <c r="R14" i="19"/>
  <c r="L14" i="19"/>
  <c r="F14" i="19"/>
  <c r="R13" i="19"/>
  <c r="L13" i="19"/>
  <c r="F13" i="19"/>
  <c r="R11" i="19"/>
  <c r="L11" i="19"/>
  <c r="F11" i="19"/>
  <c r="R10" i="19"/>
  <c r="L10" i="19"/>
  <c r="F10" i="19"/>
  <c r="R9" i="19"/>
  <c r="L9" i="19"/>
  <c r="F9" i="19"/>
  <c r="R8" i="19"/>
  <c r="L8" i="19"/>
  <c r="F8" i="19"/>
  <c r="R7" i="19"/>
  <c r="L7" i="19"/>
  <c r="F7" i="19"/>
  <c r="R6" i="19"/>
  <c r="L6" i="19"/>
  <c r="F6" i="19"/>
  <c r="F20" i="19" l="1"/>
  <c r="L34" i="19"/>
  <c r="L19" i="19"/>
  <c r="F19" i="19"/>
  <c r="F36" i="19" s="1"/>
  <c r="U8" i="33"/>
  <c r="L3" i="33" l="1"/>
  <c r="L4" i="33"/>
  <c r="L5" i="33"/>
  <c r="L6" i="33"/>
  <c r="L7" i="33"/>
  <c r="L8" i="33"/>
  <c r="L9" i="33"/>
  <c r="L10" i="33"/>
  <c r="L11" i="33"/>
  <c r="L12" i="33"/>
  <c r="L13" i="33"/>
  <c r="L14" i="33"/>
  <c r="L15" i="33"/>
  <c r="L16" i="33"/>
  <c r="L17" i="33"/>
  <c r="L18" i="33"/>
  <c r="L19" i="33"/>
  <c r="E19" i="21" l="1"/>
  <c r="K19" i="21"/>
  <c r="E26" i="21"/>
  <c r="E25" i="21"/>
  <c r="E24" i="21"/>
  <c r="E20" i="21"/>
  <c r="B56" i="21"/>
  <c r="C41" i="21"/>
  <c r="P35" i="21"/>
  <c r="F35" i="21"/>
  <c r="Q34" i="21"/>
  <c r="R34" i="21" s="1"/>
  <c r="F34" i="21"/>
  <c r="R33" i="21"/>
  <c r="L33" i="21"/>
  <c r="P32" i="21"/>
  <c r="R32" i="21" s="1"/>
  <c r="F32" i="21"/>
  <c r="R31" i="21"/>
  <c r="L31" i="21"/>
  <c r="F31" i="21"/>
  <c r="R30" i="21"/>
  <c r="Q30" i="21"/>
  <c r="L30" i="21"/>
  <c r="F30" i="21"/>
  <c r="Q29" i="21"/>
  <c r="R29" i="21" s="1"/>
  <c r="R28" i="21"/>
  <c r="L28" i="21"/>
  <c r="F28" i="21"/>
  <c r="R27" i="21"/>
  <c r="L27" i="21"/>
  <c r="F27" i="21"/>
  <c r="R26" i="21"/>
  <c r="L26" i="21"/>
  <c r="F26" i="21"/>
  <c r="R25" i="21"/>
  <c r="L25" i="21"/>
  <c r="F25" i="21"/>
  <c r="R24" i="21"/>
  <c r="Q24" i="21"/>
  <c r="P24" i="21"/>
  <c r="L24" i="21"/>
  <c r="F24" i="21"/>
  <c r="R23" i="21"/>
  <c r="L23" i="21"/>
  <c r="F23" i="21"/>
  <c r="R22" i="21"/>
  <c r="L22" i="21"/>
  <c r="R20" i="21"/>
  <c r="L20" i="21"/>
  <c r="F20" i="21"/>
  <c r="R19" i="21"/>
  <c r="R17" i="21"/>
  <c r="L17" i="21"/>
  <c r="R16" i="21"/>
  <c r="L16" i="21"/>
  <c r="R15" i="21"/>
  <c r="L15" i="21"/>
  <c r="R14" i="21"/>
  <c r="L14" i="21"/>
  <c r="R13" i="21"/>
  <c r="R11" i="21"/>
  <c r="L11" i="21"/>
  <c r="F11" i="21"/>
  <c r="R10" i="21"/>
  <c r="L10" i="21"/>
  <c r="F10" i="21"/>
  <c r="R9" i="21"/>
  <c r="L9" i="21"/>
  <c r="F9" i="21"/>
  <c r="R8" i="21"/>
  <c r="L8" i="21"/>
  <c r="F8" i="21"/>
  <c r="R7" i="21"/>
  <c r="L7" i="21"/>
  <c r="F16" i="21"/>
  <c r="R6" i="21"/>
  <c r="F6" i="21"/>
  <c r="F22" i="21" l="1"/>
  <c r="F33" i="21"/>
  <c r="F15" i="21"/>
  <c r="L6" i="21"/>
  <c r="E36" i="21"/>
  <c r="L13" i="21"/>
  <c r="F17" i="21"/>
  <c r="L19" i="21"/>
  <c r="F7" i="21"/>
  <c r="F19" i="21"/>
  <c r="N3" i="35"/>
  <c r="N4" i="35"/>
  <c r="N5" i="35"/>
  <c r="N6" i="35"/>
  <c r="N7" i="35"/>
  <c r="N8" i="35"/>
  <c r="N9" i="35"/>
  <c r="N10" i="35"/>
  <c r="N11" i="35"/>
  <c r="N12" i="35"/>
  <c r="N13" i="35"/>
  <c r="N14" i="35"/>
  <c r="N15" i="35"/>
  <c r="N16" i="35"/>
  <c r="N17" i="35"/>
  <c r="N18" i="35"/>
  <c r="N2" i="35"/>
  <c r="K34" i="21" l="1"/>
  <c r="C36" i="21"/>
  <c r="D41" i="34"/>
  <c r="D6" i="34"/>
  <c r="D6" i="32"/>
  <c r="F14" i="21" l="1"/>
  <c r="L32" i="21"/>
  <c r="L34" i="21"/>
  <c r="D46" i="34"/>
  <c r="D42" i="34"/>
  <c r="F13" i="21" l="1"/>
  <c r="F36" i="21" s="1"/>
  <c r="D36" i="21"/>
  <c r="B58" i="21" s="1"/>
  <c r="B56" i="34"/>
  <c r="P35" i="34"/>
  <c r="F35" i="34"/>
  <c r="D34" i="34"/>
  <c r="F34" i="34" s="1"/>
  <c r="R33" i="34"/>
  <c r="L33" i="34"/>
  <c r="E33" i="34"/>
  <c r="D33" i="34"/>
  <c r="F33" i="34" s="1"/>
  <c r="P32" i="34"/>
  <c r="J32" i="34"/>
  <c r="J34" i="34" s="1"/>
  <c r="F32" i="34"/>
  <c r="D32" i="34"/>
  <c r="R31" i="34"/>
  <c r="L31" i="34"/>
  <c r="F31" i="34"/>
  <c r="D31" i="34"/>
  <c r="R30" i="34"/>
  <c r="Q30" i="34"/>
  <c r="L30" i="34"/>
  <c r="D30" i="34"/>
  <c r="F30" i="34" s="1"/>
  <c r="Q29" i="34"/>
  <c r="R29" i="34" s="1"/>
  <c r="D29" i="34"/>
  <c r="R28" i="34"/>
  <c r="L28" i="34"/>
  <c r="E28" i="34"/>
  <c r="D28" i="34"/>
  <c r="F28" i="34" s="1"/>
  <c r="R27" i="34"/>
  <c r="L27" i="34"/>
  <c r="D27" i="34"/>
  <c r="F27" i="34" s="1"/>
  <c r="R26" i="34"/>
  <c r="L26" i="34"/>
  <c r="K26" i="34"/>
  <c r="F26" i="34"/>
  <c r="E26" i="34"/>
  <c r="D26" i="34"/>
  <c r="R25" i="34"/>
  <c r="L25" i="34"/>
  <c r="E25" i="34"/>
  <c r="F25" i="34" s="1"/>
  <c r="D25" i="34"/>
  <c r="R24" i="34"/>
  <c r="Q24" i="34"/>
  <c r="Q34" i="34" s="1"/>
  <c r="P24" i="34"/>
  <c r="K24" i="34"/>
  <c r="K19" i="34" s="1"/>
  <c r="L19" i="34" s="1"/>
  <c r="E24" i="34"/>
  <c r="F24" i="34" s="1"/>
  <c r="D24" i="34"/>
  <c r="R23" i="34"/>
  <c r="L23" i="34"/>
  <c r="E23" i="34"/>
  <c r="D23" i="34"/>
  <c r="D19" i="34" s="1"/>
  <c r="F19" i="34" s="1"/>
  <c r="R22" i="34"/>
  <c r="L22" i="34"/>
  <c r="E22" i="34"/>
  <c r="D22" i="34"/>
  <c r="F22" i="34" s="1"/>
  <c r="D21" i="34"/>
  <c r="R20" i="34"/>
  <c r="L20" i="34"/>
  <c r="E20" i="34"/>
  <c r="F20" i="34" s="1"/>
  <c r="D20" i="34"/>
  <c r="R19" i="34"/>
  <c r="E19" i="34"/>
  <c r="C19" i="34"/>
  <c r="D18" i="34"/>
  <c r="R17" i="34"/>
  <c r="K17" i="34"/>
  <c r="L17" i="34" s="1"/>
  <c r="E17" i="34"/>
  <c r="R16" i="34"/>
  <c r="L16" i="34"/>
  <c r="K16" i="34"/>
  <c r="E16" i="34"/>
  <c r="R15" i="34"/>
  <c r="K15" i="34"/>
  <c r="K13" i="34" s="1"/>
  <c r="L13" i="34" s="1"/>
  <c r="E15" i="34"/>
  <c r="R14" i="34"/>
  <c r="L14" i="34"/>
  <c r="K14" i="34"/>
  <c r="E14" i="34"/>
  <c r="R13" i="34"/>
  <c r="E13" i="34"/>
  <c r="D12" i="34"/>
  <c r="R11" i="34"/>
  <c r="L11" i="34"/>
  <c r="E11" i="34"/>
  <c r="D11" i="34"/>
  <c r="F11" i="34" s="1"/>
  <c r="R10" i="34"/>
  <c r="L10" i="34"/>
  <c r="D10" i="34"/>
  <c r="F10" i="34" s="1"/>
  <c r="R9" i="34"/>
  <c r="L9" i="34"/>
  <c r="E9" i="34"/>
  <c r="E7" i="34" s="1"/>
  <c r="D9" i="34"/>
  <c r="F9" i="34" s="1"/>
  <c r="R8" i="34"/>
  <c r="L8" i="34"/>
  <c r="F8" i="34"/>
  <c r="E8" i="34"/>
  <c r="D8" i="34"/>
  <c r="R7" i="34"/>
  <c r="L7" i="34"/>
  <c r="C7" i="34"/>
  <c r="C16" i="34" s="1"/>
  <c r="D16" i="34" s="1"/>
  <c r="F16" i="34" s="1"/>
  <c r="R6" i="34"/>
  <c r="L6" i="34"/>
  <c r="K6" i="34"/>
  <c r="F6" i="34"/>
  <c r="E6" i="34"/>
  <c r="E36" i="34" s="1"/>
  <c r="K34" i="34" l="1"/>
  <c r="L32" i="34" s="1"/>
  <c r="R34" i="34"/>
  <c r="R32" i="34"/>
  <c r="D7" i="34"/>
  <c r="F7" i="34" s="1"/>
  <c r="C14" i="34"/>
  <c r="L15" i="34"/>
  <c r="L24" i="34"/>
  <c r="C17" i="34"/>
  <c r="D17" i="34" s="1"/>
  <c r="F17" i="34" s="1"/>
  <c r="F23" i="34"/>
  <c r="C15" i="34"/>
  <c r="D15" i="34" s="1"/>
  <c r="F15" i="34" s="1"/>
  <c r="B56" i="32"/>
  <c r="D34" i="32"/>
  <c r="K24" i="32"/>
  <c r="D26" i="32"/>
  <c r="D23" i="32"/>
  <c r="C41" i="32"/>
  <c r="E28" i="32"/>
  <c r="E26" i="32"/>
  <c r="E25" i="32"/>
  <c r="E24" i="32"/>
  <c r="E20" i="32"/>
  <c r="E17" i="32"/>
  <c r="E16" i="32"/>
  <c r="E15" i="32"/>
  <c r="E14" i="32"/>
  <c r="E11" i="32"/>
  <c r="E9" i="32"/>
  <c r="E6" i="32"/>
  <c r="D14" i="34" l="1"/>
  <c r="C13" i="34"/>
  <c r="C36" i="34" s="1"/>
  <c r="L34" i="34"/>
  <c r="F36" i="31"/>
  <c r="F32" i="31"/>
  <c r="F33" i="31"/>
  <c r="F32" i="32"/>
  <c r="F33" i="32"/>
  <c r="D13" i="34" l="1"/>
  <c r="F14" i="34"/>
  <c r="D17" i="32"/>
  <c r="D16" i="32"/>
  <c r="D15" i="32"/>
  <c r="D14" i="32"/>
  <c r="P35" i="32"/>
  <c r="F35" i="32"/>
  <c r="J34" i="32"/>
  <c r="F34" i="32"/>
  <c r="R33" i="32"/>
  <c r="L33" i="32"/>
  <c r="E33" i="32"/>
  <c r="D33" i="32"/>
  <c r="P32" i="32"/>
  <c r="J32" i="32"/>
  <c r="D32" i="32"/>
  <c r="R31" i="32"/>
  <c r="L31" i="32"/>
  <c r="D31" i="32"/>
  <c r="F31" i="32" s="1"/>
  <c r="R30" i="32"/>
  <c r="Q30" i="32"/>
  <c r="L30" i="32"/>
  <c r="D30" i="32"/>
  <c r="F30" i="32" s="1"/>
  <c r="Q29" i="32"/>
  <c r="R29" i="32" s="1"/>
  <c r="D29" i="32"/>
  <c r="R28" i="32"/>
  <c r="L28" i="32"/>
  <c r="D28" i="32"/>
  <c r="F28" i="32" s="1"/>
  <c r="R27" i="32"/>
  <c r="L27" i="32"/>
  <c r="D27" i="32"/>
  <c r="F27" i="32" s="1"/>
  <c r="R26" i="32"/>
  <c r="K26" i="32"/>
  <c r="L26" i="32" s="1"/>
  <c r="F26" i="32"/>
  <c r="R25" i="32"/>
  <c r="L25" i="32"/>
  <c r="D25" i="32"/>
  <c r="F25" i="32" s="1"/>
  <c r="R24" i="32"/>
  <c r="Q24" i="32"/>
  <c r="Q34" i="32" s="1"/>
  <c r="R34" i="32" s="1"/>
  <c r="P24" i="32"/>
  <c r="K19" i="32"/>
  <c r="L19" i="32" s="1"/>
  <c r="D24" i="32"/>
  <c r="F24" i="32" s="1"/>
  <c r="R23" i="32"/>
  <c r="L23" i="32"/>
  <c r="E23" i="32"/>
  <c r="F23" i="32"/>
  <c r="R22" i="32"/>
  <c r="L22" i="32"/>
  <c r="E22" i="32"/>
  <c r="D22" i="32"/>
  <c r="F22" i="32" s="1"/>
  <c r="D21" i="32"/>
  <c r="D19" i="32" s="1"/>
  <c r="R20" i="32"/>
  <c r="L20" i="32"/>
  <c r="D20" i="32"/>
  <c r="F20" i="32" s="1"/>
  <c r="R19" i="32"/>
  <c r="E19" i="32"/>
  <c r="C19" i="32"/>
  <c r="D18" i="32"/>
  <c r="R17" i="32"/>
  <c r="K17" i="32"/>
  <c r="L17" i="32" s="1"/>
  <c r="R16" i="32"/>
  <c r="L16" i="32"/>
  <c r="K16" i="32"/>
  <c r="R15" i="32"/>
  <c r="K15" i="32"/>
  <c r="K13" i="32" s="1"/>
  <c r="L13" i="32" s="1"/>
  <c r="R14" i="32"/>
  <c r="L14" i="32"/>
  <c r="K14" i="32"/>
  <c r="R13" i="32"/>
  <c r="E13" i="32"/>
  <c r="D12" i="32"/>
  <c r="R11" i="32"/>
  <c r="L11" i="32"/>
  <c r="D11" i="32"/>
  <c r="F11" i="32" s="1"/>
  <c r="R10" i="32"/>
  <c r="L10" i="32"/>
  <c r="D10" i="32"/>
  <c r="F10" i="32" s="1"/>
  <c r="R9" i="32"/>
  <c r="L9" i="32"/>
  <c r="E7" i="32"/>
  <c r="D9" i="32"/>
  <c r="F9" i="32" s="1"/>
  <c r="R8" i="32"/>
  <c r="L8" i="32"/>
  <c r="F8" i="32"/>
  <c r="E8" i="32"/>
  <c r="D8" i="32"/>
  <c r="R7" i="32"/>
  <c r="L7" i="32"/>
  <c r="C7" i="32"/>
  <c r="R6" i="32"/>
  <c r="L6" i="32"/>
  <c r="K6" i="32"/>
  <c r="F6" i="32"/>
  <c r="F36" i="32" s="1"/>
  <c r="D26" i="31"/>
  <c r="D26" i="30"/>
  <c r="D26" i="29"/>
  <c r="D19" i="29" s="1"/>
  <c r="D36" i="29" s="1"/>
  <c r="D26" i="28"/>
  <c r="D19" i="27"/>
  <c r="D19" i="26"/>
  <c r="F13" i="34" l="1"/>
  <c r="F36" i="34" s="1"/>
  <c r="D36" i="34"/>
  <c r="B58" i="34" s="1"/>
  <c r="K34" i="32"/>
  <c r="L34" i="32"/>
  <c r="F19" i="32"/>
  <c r="E36" i="32"/>
  <c r="L32" i="32"/>
  <c r="R32" i="32"/>
  <c r="D7" i="32"/>
  <c r="F7" i="32" s="1"/>
  <c r="C14" i="32"/>
  <c r="L15" i="32"/>
  <c r="L24" i="32"/>
  <c r="C17" i="32"/>
  <c r="F17" i="32" s="1"/>
  <c r="C15" i="32"/>
  <c r="F15" i="32" s="1"/>
  <c r="C16" i="32"/>
  <c r="F16" i="32" s="1"/>
  <c r="Q24" i="31"/>
  <c r="E28" i="31"/>
  <c r="E26" i="31"/>
  <c r="E25" i="31"/>
  <c r="E24" i="31"/>
  <c r="E22" i="31"/>
  <c r="E20" i="31"/>
  <c r="E17" i="31"/>
  <c r="C13" i="32" l="1"/>
  <c r="C36" i="32" s="1"/>
  <c r="D6" i="31"/>
  <c r="D13" i="32" l="1"/>
  <c r="F14" i="32"/>
  <c r="E16" i="31"/>
  <c r="E15" i="31"/>
  <c r="E14" i="31"/>
  <c r="E11" i="31"/>
  <c r="E9" i="31"/>
  <c r="E6" i="31"/>
  <c r="C41" i="31"/>
  <c r="P35" i="31"/>
  <c r="F35" i="31"/>
  <c r="J34" i="31"/>
  <c r="F34" i="31"/>
  <c r="D34" i="31"/>
  <c r="R33" i="31"/>
  <c r="L33" i="31"/>
  <c r="E33" i="31"/>
  <c r="D33" i="31"/>
  <c r="P32" i="31"/>
  <c r="J32" i="31"/>
  <c r="D32" i="31"/>
  <c r="R31" i="31"/>
  <c r="L31" i="31"/>
  <c r="F31" i="31"/>
  <c r="D31" i="31"/>
  <c r="R30" i="31"/>
  <c r="Q30" i="31"/>
  <c r="L30" i="31"/>
  <c r="D30" i="31"/>
  <c r="F30" i="31" s="1"/>
  <c r="Q29" i="31"/>
  <c r="R29" i="31" s="1"/>
  <c r="D29" i="31"/>
  <c r="R28" i="31"/>
  <c r="L28" i="31"/>
  <c r="D28" i="31"/>
  <c r="F28" i="31" s="1"/>
  <c r="R27" i="31"/>
  <c r="L27" i="31"/>
  <c r="D27" i="31"/>
  <c r="F27" i="31" s="1"/>
  <c r="R26" i="31"/>
  <c r="L26" i="31"/>
  <c r="K26" i="31"/>
  <c r="F26" i="31"/>
  <c r="R25" i="31"/>
  <c r="L25" i="31"/>
  <c r="F25" i="31"/>
  <c r="D25" i="31"/>
  <c r="R24" i="31"/>
  <c r="Q34" i="31"/>
  <c r="R34" i="31" s="1"/>
  <c r="P24" i="31"/>
  <c r="K24" i="31"/>
  <c r="K19" i="31" s="1"/>
  <c r="L19" i="31" s="1"/>
  <c r="F24" i="31"/>
  <c r="D24" i="31"/>
  <c r="R23" i="31"/>
  <c r="L23" i="31"/>
  <c r="E23" i="31"/>
  <c r="D23" i="31"/>
  <c r="F23" i="31" s="1"/>
  <c r="R22" i="31"/>
  <c r="L22" i="31"/>
  <c r="D22" i="31"/>
  <c r="F22" i="31" s="1"/>
  <c r="D21" i="31"/>
  <c r="R20" i="31"/>
  <c r="L20" i="31"/>
  <c r="F20" i="31"/>
  <c r="D20" i="31"/>
  <c r="R19" i="31"/>
  <c r="D19" i="31"/>
  <c r="C19" i="31"/>
  <c r="D18" i="31"/>
  <c r="R17" i="31"/>
  <c r="L17" i="31"/>
  <c r="K17" i="31"/>
  <c r="R16" i="31"/>
  <c r="K16" i="31"/>
  <c r="L16" i="31" s="1"/>
  <c r="C16" i="31"/>
  <c r="D16" i="31" s="1"/>
  <c r="F16" i="31" s="1"/>
  <c r="R15" i="31"/>
  <c r="L15" i="31"/>
  <c r="K15" i="31"/>
  <c r="R14" i="31"/>
  <c r="K14" i="31"/>
  <c r="L14" i="31" s="1"/>
  <c r="E13" i="31"/>
  <c r="C14" i="31"/>
  <c r="D14" i="31" s="1"/>
  <c r="R13" i="31"/>
  <c r="D12" i="31"/>
  <c r="R11" i="31"/>
  <c r="L11" i="31"/>
  <c r="D11" i="31"/>
  <c r="F11" i="31" s="1"/>
  <c r="R10" i="31"/>
  <c r="L10" i="31"/>
  <c r="F10" i="31"/>
  <c r="D10" i="31"/>
  <c r="R9" i="31"/>
  <c r="L9" i="31"/>
  <c r="D9" i="31"/>
  <c r="F9" i="31" s="1"/>
  <c r="R8" i="31"/>
  <c r="L8" i="31"/>
  <c r="E8" i="31"/>
  <c r="E7" i="31" s="1"/>
  <c r="F7" i="31" s="1"/>
  <c r="D8" i="31"/>
  <c r="F8" i="31" s="1"/>
  <c r="R7" i="31"/>
  <c r="L7" i="31"/>
  <c r="D7" i="31"/>
  <c r="C7" i="31"/>
  <c r="R6" i="31"/>
  <c r="K6" i="31"/>
  <c r="L6" i="31" s="1"/>
  <c r="F6" i="31"/>
  <c r="F13" i="32" l="1"/>
  <c r="D36" i="32"/>
  <c r="B58" i="32" s="1"/>
  <c r="F14" i="31"/>
  <c r="R32" i="31"/>
  <c r="C15" i="31"/>
  <c r="D15" i="31" s="1"/>
  <c r="F15" i="31" s="1"/>
  <c r="E19" i="31"/>
  <c r="F19" i="31" s="1"/>
  <c r="L24" i="31"/>
  <c r="K13" i="31"/>
  <c r="L13" i="31" s="1"/>
  <c r="C17" i="31"/>
  <c r="D17" i="31" s="1"/>
  <c r="F17" i="31" s="1"/>
  <c r="Q30" i="30"/>
  <c r="Q24" i="30"/>
  <c r="Q34" i="30"/>
  <c r="R34" i="30" s="1"/>
  <c r="P35" i="30"/>
  <c r="P24" i="30"/>
  <c r="P32" i="30"/>
  <c r="D13" i="31" l="1"/>
  <c r="C13" i="31"/>
  <c r="C36" i="31" s="1"/>
  <c r="E36" i="31"/>
  <c r="K34" i="31"/>
  <c r="R32" i="30"/>
  <c r="E28" i="30"/>
  <c r="E26" i="30"/>
  <c r="E25" i="30"/>
  <c r="E24" i="30"/>
  <c r="E23" i="30"/>
  <c r="E20" i="30"/>
  <c r="E17" i="30"/>
  <c r="E16" i="30"/>
  <c r="E15" i="30"/>
  <c r="E14" i="30"/>
  <c r="E9" i="30"/>
  <c r="E6" i="30"/>
  <c r="C41" i="30"/>
  <c r="F35" i="30"/>
  <c r="J34" i="30"/>
  <c r="D34" i="30"/>
  <c r="F34" i="30" s="1"/>
  <c r="R33" i="30"/>
  <c r="L33" i="30"/>
  <c r="E33" i="30"/>
  <c r="D33" i="30"/>
  <c r="J32" i="30"/>
  <c r="D32" i="30"/>
  <c r="R31" i="30"/>
  <c r="L31" i="30"/>
  <c r="F31" i="30"/>
  <c r="D31" i="30"/>
  <c r="R30" i="30"/>
  <c r="L30" i="30"/>
  <c r="F30" i="30"/>
  <c r="D30" i="30"/>
  <c r="R29" i="30"/>
  <c r="Q29" i="30"/>
  <c r="D29" i="30"/>
  <c r="R28" i="30"/>
  <c r="L28" i="30"/>
  <c r="F28" i="30"/>
  <c r="D28" i="30"/>
  <c r="R27" i="30"/>
  <c r="L27" i="30"/>
  <c r="F27" i="30"/>
  <c r="D27" i="30"/>
  <c r="R26" i="30"/>
  <c r="K26" i="30"/>
  <c r="L26" i="30" s="1"/>
  <c r="R25" i="30"/>
  <c r="L25" i="30"/>
  <c r="F25" i="30"/>
  <c r="D25" i="30"/>
  <c r="R24" i="30"/>
  <c r="K24" i="30"/>
  <c r="L24" i="30" s="1"/>
  <c r="E19" i="30"/>
  <c r="D24" i="30"/>
  <c r="F24" i="30" s="1"/>
  <c r="R23" i="30"/>
  <c r="L23" i="30"/>
  <c r="F23" i="30"/>
  <c r="D23" i="30"/>
  <c r="R22" i="30"/>
  <c r="L22" i="30"/>
  <c r="D22" i="30"/>
  <c r="F22" i="30" s="1"/>
  <c r="D21" i="30"/>
  <c r="R20" i="30"/>
  <c r="L20" i="30"/>
  <c r="D20" i="30"/>
  <c r="F20" i="30" s="1"/>
  <c r="R19" i="30"/>
  <c r="C19" i="30"/>
  <c r="D18" i="30"/>
  <c r="R17" i="30"/>
  <c r="L17" i="30"/>
  <c r="K17" i="30"/>
  <c r="R16" i="30"/>
  <c r="K16" i="30"/>
  <c r="L16" i="30" s="1"/>
  <c r="C16" i="30"/>
  <c r="D16" i="30" s="1"/>
  <c r="F16" i="30" s="1"/>
  <c r="R15" i="30"/>
  <c r="L15" i="30"/>
  <c r="K15" i="30"/>
  <c r="R14" i="30"/>
  <c r="K14" i="30"/>
  <c r="L14" i="30" s="1"/>
  <c r="C14" i="30"/>
  <c r="D14" i="30" s="1"/>
  <c r="R13" i="30"/>
  <c r="D12" i="30"/>
  <c r="R11" i="30"/>
  <c r="L11" i="30"/>
  <c r="E11" i="30"/>
  <c r="D11" i="30"/>
  <c r="F11" i="30" s="1"/>
  <c r="R10" i="30"/>
  <c r="L10" i="30"/>
  <c r="F10" i="30"/>
  <c r="D10" i="30"/>
  <c r="R9" i="30"/>
  <c r="L9" i="30"/>
  <c r="F9" i="30"/>
  <c r="D9" i="30"/>
  <c r="R8" i="30"/>
  <c r="L8" i="30"/>
  <c r="E8" i="30"/>
  <c r="E7" i="30" s="1"/>
  <c r="D8" i="30"/>
  <c r="F8" i="30" s="1"/>
  <c r="R7" i="30"/>
  <c r="L7" i="30"/>
  <c r="D7" i="30"/>
  <c r="C7" i="30"/>
  <c r="R6" i="30"/>
  <c r="K6" i="30"/>
  <c r="D6" i="30"/>
  <c r="F6" i="30" s="1"/>
  <c r="L32" i="31" l="1"/>
  <c r="L34" i="31"/>
  <c r="F13" i="31"/>
  <c r="D36" i="31"/>
  <c r="F26" i="30"/>
  <c r="E13" i="30"/>
  <c r="F7" i="30"/>
  <c r="E36" i="30"/>
  <c r="F14" i="30"/>
  <c r="L6" i="30"/>
  <c r="K13" i="30"/>
  <c r="L13" i="30" s="1"/>
  <c r="C17" i="30"/>
  <c r="D17" i="30" s="1"/>
  <c r="F17" i="30" s="1"/>
  <c r="K19" i="30"/>
  <c r="L19" i="30" s="1"/>
  <c r="D19" i="30"/>
  <c r="F19" i="30" s="1"/>
  <c r="C15" i="30"/>
  <c r="D15" i="30" s="1"/>
  <c r="F15" i="30" s="1"/>
  <c r="D13" i="29"/>
  <c r="D24" i="29"/>
  <c r="D17" i="29"/>
  <c r="D16" i="29"/>
  <c r="D15" i="29"/>
  <c r="D14" i="29"/>
  <c r="D6" i="29"/>
  <c r="E28" i="29"/>
  <c r="E26" i="29"/>
  <c r="E25" i="29"/>
  <c r="E24" i="29"/>
  <c r="E20" i="29"/>
  <c r="E17" i="29"/>
  <c r="E16" i="29"/>
  <c r="E15" i="29"/>
  <c r="E14" i="29"/>
  <c r="E9" i="29"/>
  <c r="E8" i="29"/>
  <c r="E6" i="29"/>
  <c r="C13" i="30" l="1"/>
  <c r="C36" i="30" s="1"/>
  <c r="D13" i="30"/>
  <c r="K34" i="30"/>
  <c r="L32" i="30" l="1"/>
  <c r="L34" i="30"/>
  <c r="F13" i="30"/>
  <c r="F36" i="30" s="1"/>
  <c r="D36" i="30"/>
  <c r="L32" i="29" l="1"/>
  <c r="P32" i="29"/>
  <c r="C41" i="29"/>
  <c r="F35" i="29"/>
  <c r="Q34" i="29"/>
  <c r="R34" i="29" s="1"/>
  <c r="P34" i="29"/>
  <c r="J34" i="29"/>
  <c r="D34" i="29"/>
  <c r="F34" i="29" s="1"/>
  <c r="R33" i="29"/>
  <c r="L33" i="29"/>
  <c r="E33" i="29"/>
  <c r="D33" i="29"/>
  <c r="J32" i="29"/>
  <c r="D32" i="29"/>
  <c r="R31" i="29"/>
  <c r="L31" i="29"/>
  <c r="F31" i="29"/>
  <c r="D31" i="29"/>
  <c r="R30" i="29"/>
  <c r="L30" i="29"/>
  <c r="D30" i="29"/>
  <c r="F30" i="29" s="1"/>
  <c r="Q29" i="29"/>
  <c r="R29" i="29" s="1"/>
  <c r="D29" i="29"/>
  <c r="R28" i="29"/>
  <c r="L28" i="29"/>
  <c r="F28" i="29"/>
  <c r="D28" i="29"/>
  <c r="R27" i="29"/>
  <c r="L27" i="29"/>
  <c r="F27" i="29"/>
  <c r="D27" i="29"/>
  <c r="R26" i="29"/>
  <c r="K26" i="29"/>
  <c r="K19" i="29" s="1"/>
  <c r="L19" i="29" s="1"/>
  <c r="F26" i="29"/>
  <c r="R25" i="29"/>
  <c r="L25" i="29"/>
  <c r="D25" i="29"/>
  <c r="F25" i="29" s="1"/>
  <c r="P24" i="29"/>
  <c r="R24" i="29" s="1"/>
  <c r="L24" i="29"/>
  <c r="K24" i="29"/>
  <c r="F24" i="29"/>
  <c r="R23" i="29"/>
  <c r="L23" i="29"/>
  <c r="E23" i="29"/>
  <c r="D23" i="29"/>
  <c r="F23" i="29" s="1"/>
  <c r="R22" i="29"/>
  <c r="L22" i="29"/>
  <c r="F22" i="29"/>
  <c r="D22" i="29"/>
  <c r="D21" i="29"/>
  <c r="R20" i="29"/>
  <c r="L20" i="29"/>
  <c r="D20" i="29"/>
  <c r="F20" i="29" s="1"/>
  <c r="R19" i="29"/>
  <c r="E19" i="29"/>
  <c r="C19" i="29"/>
  <c r="D18" i="29"/>
  <c r="R17" i="29"/>
  <c r="K17" i="29"/>
  <c r="L17" i="29" s="1"/>
  <c r="R16" i="29"/>
  <c r="L16" i="29"/>
  <c r="K16" i="29"/>
  <c r="R15" i="29"/>
  <c r="K15" i="29"/>
  <c r="K13" i="29" s="1"/>
  <c r="L13" i="29" s="1"/>
  <c r="R14" i="29"/>
  <c r="L14" i="29"/>
  <c r="K14" i="29"/>
  <c r="R13" i="29"/>
  <c r="E13" i="29"/>
  <c r="D12" i="29"/>
  <c r="R11" i="29"/>
  <c r="L11" i="29"/>
  <c r="E11" i="29"/>
  <c r="D11" i="29"/>
  <c r="F11" i="29" s="1"/>
  <c r="R10" i="29"/>
  <c r="L10" i="29"/>
  <c r="D10" i="29"/>
  <c r="F10" i="29" s="1"/>
  <c r="R9" i="29"/>
  <c r="L9" i="29"/>
  <c r="E7" i="29"/>
  <c r="D9" i="29"/>
  <c r="F9" i="29" s="1"/>
  <c r="R8" i="29"/>
  <c r="L8" i="29"/>
  <c r="F8" i="29"/>
  <c r="D8" i="29"/>
  <c r="R7" i="29"/>
  <c r="L7" i="29"/>
  <c r="C7" i="29"/>
  <c r="R6" i="29"/>
  <c r="L6" i="29"/>
  <c r="K6" i="29"/>
  <c r="F6" i="29"/>
  <c r="R32" i="29" l="1"/>
  <c r="E36" i="29"/>
  <c r="K34" i="29"/>
  <c r="L34" i="29" s="1"/>
  <c r="C15" i="29"/>
  <c r="F15" i="29" s="1"/>
  <c r="D7" i="29"/>
  <c r="C14" i="29"/>
  <c r="L15" i="29"/>
  <c r="L26" i="29"/>
  <c r="C17" i="29"/>
  <c r="F17" i="29" s="1"/>
  <c r="C16" i="29"/>
  <c r="F16" i="29" s="1"/>
  <c r="F19" i="29"/>
  <c r="G4" i="33"/>
  <c r="N4" i="33" s="1"/>
  <c r="G16" i="33"/>
  <c r="G17" i="33"/>
  <c r="G18" i="33"/>
  <c r="G19" i="33"/>
  <c r="F14" i="29" l="1"/>
  <c r="C13" i="29"/>
  <c r="F7" i="29"/>
  <c r="L32" i="28"/>
  <c r="R32" i="28"/>
  <c r="E26" i="28"/>
  <c r="E25" i="28"/>
  <c r="E24" i="28"/>
  <c r="E23" i="28"/>
  <c r="E17" i="28"/>
  <c r="E16" i="28"/>
  <c r="E13" i="28" s="1"/>
  <c r="E15" i="28"/>
  <c r="E14" i="28"/>
  <c r="E9" i="28"/>
  <c r="E6" i="28"/>
  <c r="P32" i="28"/>
  <c r="Q29" i="28"/>
  <c r="Q28" i="28"/>
  <c r="Q24" i="28"/>
  <c r="K17" i="28"/>
  <c r="K16" i="28"/>
  <c r="K15" i="28"/>
  <c r="K14" i="28"/>
  <c r="K6" i="28"/>
  <c r="C41" i="28"/>
  <c r="F35" i="28"/>
  <c r="P34" i="28"/>
  <c r="J34" i="28"/>
  <c r="F34" i="28"/>
  <c r="D34" i="28"/>
  <c r="R33" i="28"/>
  <c r="L33" i="28"/>
  <c r="E33" i="28"/>
  <c r="D33" i="28"/>
  <c r="J32" i="28"/>
  <c r="D32" i="28"/>
  <c r="R31" i="28"/>
  <c r="L31" i="28"/>
  <c r="F31" i="28"/>
  <c r="D31" i="28"/>
  <c r="Q30" i="28"/>
  <c r="R30" i="28" s="1"/>
  <c r="L30" i="28"/>
  <c r="D30" i="28"/>
  <c r="F30" i="28" s="1"/>
  <c r="R29" i="28"/>
  <c r="D29" i="28"/>
  <c r="R28" i="28"/>
  <c r="L28" i="28"/>
  <c r="E28" i="28"/>
  <c r="D28" i="28"/>
  <c r="F28" i="28" s="1"/>
  <c r="R27" i="28"/>
  <c r="L27" i="28"/>
  <c r="D27" i="28"/>
  <c r="F27" i="28" s="1"/>
  <c r="R26" i="28"/>
  <c r="K26" i="28"/>
  <c r="L26" i="28" s="1"/>
  <c r="F26" i="28"/>
  <c r="R25" i="28"/>
  <c r="L25" i="28"/>
  <c r="D25" i="28"/>
  <c r="F25" i="28" s="1"/>
  <c r="R24" i="28"/>
  <c r="P24" i="28"/>
  <c r="K24" i="28"/>
  <c r="L24" i="28" s="1"/>
  <c r="D24" i="28"/>
  <c r="F24" i="28" s="1"/>
  <c r="R23" i="28"/>
  <c r="L23" i="28"/>
  <c r="D23" i="28"/>
  <c r="F23" i="28" s="1"/>
  <c r="R22" i="28"/>
  <c r="L22" i="28"/>
  <c r="D22" i="28"/>
  <c r="F22" i="28" s="1"/>
  <c r="D21" i="28"/>
  <c r="D19" i="28" s="1"/>
  <c r="R20" i="28"/>
  <c r="L20" i="28"/>
  <c r="E20" i="28"/>
  <c r="E19" i="28" s="1"/>
  <c r="D20" i="28"/>
  <c r="R19" i="28"/>
  <c r="K19" i="28"/>
  <c r="L19" i="28" s="1"/>
  <c r="C19" i="28"/>
  <c r="D18" i="28"/>
  <c r="R17" i="28"/>
  <c r="L17" i="28"/>
  <c r="R16" i="28"/>
  <c r="L16" i="28"/>
  <c r="R15" i="28"/>
  <c r="L15" i="28"/>
  <c r="R14" i="28"/>
  <c r="L14" i="28"/>
  <c r="R13" i="28"/>
  <c r="K13" i="28"/>
  <c r="K34" i="28" s="1"/>
  <c r="D12" i="28"/>
  <c r="R11" i="28"/>
  <c r="L11" i="28"/>
  <c r="F11" i="28"/>
  <c r="E11" i="28"/>
  <c r="D11" i="28"/>
  <c r="R10" i="28"/>
  <c r="L10" i="28"/>
  <c r="F10" i="28"/>
  <c r="D10" i="28"/>
  <c r="R9" i="28"/>
  <c r="L9" i="28"/>
  <c r="D9" i="28"/>
  <c r="F9" i="28" s="1"/>
  <c r="R8" i="28"/>
  <c r="L8" i="28"/>
  <c r="E8" i="28"/>
  <c r="D8" i="28"/>
  <c r="F8" i="28" s="1"/>
  <c r="R7" i="28"/>
  <c r="L7" i="28"/>
  <c r="E7" i="28"/>
  <c r="C7" i="28"/>
  <c r="R6" i="28"/>
  <c r="L6" i="28"/>
  <c r="D6" i="28"/>
  <c r="F6" i="28" s="1"/>
  <c r="C36" i="29" l="1"/>
  <c r="F19" i="28"/>
  <c r="L34" i="28"/>
  <c r="E36" i="28"/>
  <c r="Q34" i="28"/>
  <c r="L13" i="28"/>
  <c r="C15" i="28"/>
  <c r="D15" i="28" s="1"/>
  <c r="F15" i="28" s="1"/>
  <c r="C17" i="28"/>
  <c r="D17" i="28" s="1"/>
  <c r="F17" i="28" s="1"/>
  <c r="F20" i="28"/>
  <c r="D7" i="28"/>
  <c r="C14" i="28"/>
  <c r="C16" i="28"/>
  <c r="D16" i="28" s="1"/>
  <c r="F16" i="28" s="1"/>
  <c r="E25" i="27"/>
  <c r="C19" i="27"/>
  <c r="E33" i="27"/>
  <c r="E28" i="27"/>
  <c r="E26" i="27"/>
  <c r="E24" i="27"/>
  <c r="E17" i="27"/>
  <c r="E16" i="27"/>
  <c r="E15" i="27"/>
  <c r="E14" i="27"/>
  <c r="E9" i="27"/>
  <c r="E6" i="27"/>
  <c r="F13" i="29" l="1"/>
  <c r="F36" i="29" s="1"/>
  <c r="R34" i="28"/>
  <c r="D14" i="28"/>
  <c r="F14" i="28" s="1"/>
  <c r="C13" i="28"/>
  <c r="F7" i="28"/>
  <c r="D36" i="27"/>
  <c r="J32" i="27"/>
  <c r="D13" i="28" l="1"/>
  <c r="C36" i="28"/>
  <c r="P33" i="26"/>
  <c r="J33" i="26"/>
  <c r="F13" i="28" l="1"/>
  <c r="F36" i="28" s="1"/>
  <c r="D36" i="28"/>
  <c r="L32" i="26"/>
  <c r="R32" i="26"/>
  <c r="R36" i="26"/>
  <c r="K24" i="27" l="1"/>
  <c r="K13" i="27" l="1"/>
  <c r="L13" i="27" s="1"/>
  <c r="C41" i="27"/>
  <c r="F35" i="27"/>
  <c r="P34" i="27"/>
  <c r="D34" i="27"/>
  <c r="F34" i="27" s="1"/>
  <c r="R33" i="27"/>
  <c r="L33" i="27"/>
  <c r="D33" i="27"/>
  <c r="L32" i="27"/>
  <c r="D32" i="27"/>
  <c r="R31" i="27"/>
  <c r="L31" i="27"/>
  <c r="F31" i="27"/>
  <c r="D31" i="27"/>
  <c r="Q30" i="27"/>
  <c r="R30" i="27" s="1"/>
  <c r="L30" i="27"/>
  <c r="D30" i="27"/>
  <c r="F30" i="27" s="1"/>
  <c r="Q29" i="27"/>
  <c r="R29" i="27" s="1"/>
  <c r="D29" i="27"/>
  <c r="Q28" i="27"/>
  <c r="R28" i="27" s="1"/>
  <c r="L28" i="27"/>
  <c r="D28" i="27"/>
  <c r="F28" i="27" s="1"/>
  <c r="R27" i="27"/>
  <c r="L27" i="27"/>
  <c r="D27" i="27"/>
  <c r="F27" i="27" s="1"/>
  <c r="R26" i="27"/>
  <c r="K26" i="27"/>
  <c r="L26" i="27" s="1"/>
  <c r="F26" i="27"/>
  <c r="D26" i="27"/>
  <c r="R25" i="27"/>
  <c r="L25" i="27"/>
  <c r="F25" i="27"/>
  <c r="D25" i="27"/>
  <c r="Q24" i="27"/>
  <c r="R24" i="27" s="1"/>
  <c r="P24" i="27"/>
  <c r="L24" i="27"/>
  <c r="F24" i="27"/>
  <c r="D24" i="27"/>
  <c r="R23" i="27"/>
  <c r="L23" i="27"/>
  <c r="D23" i="27"/>
  <c r="F23" i="27" s="1"/>
  <c r="R22" i="27"/>
  <c r="L22" i="27"/>
  <c r="D22" i="27"/>
  <c r="F22" i="27" s="1"/>
  <c r="D21" i="27"/>
  <c r="R20" i="27"/>
  <c r="L20" i="27"/>
  <c r="E20" i="27"/>
  <c r="E19" i="27" s="1"/>
  <c r="E36" i="27" s="1"/>
  <c r="D20" i="27"/>
  <c r="F20" i="27" s="1"/>
  <c r="R19" i="27"/>
  <c r="K19" i="27"/>
  <c r="L19" i="27" s="1"/>
  <c r="D18" i="27"/>
  <c r="R17" i="27"/>
  <c r="L17" i="27"/>
  <c r="R16" i="27"/>
  <c r="L16" i="27"/>
  <c r="R15" i="27"/>
  <c r="L15" i="27"/>
  <c r="R14" i="27"/>
  <c r="L14" i="27"/>
  <c r="R13" i="27"/>
  <c r="E13" i="27"/>
  <c r="D12" i="27"/>
  <c r="R11" i="27"/>
  <c r="L11" i="27"/>
  <c r="E11" i="27"/>
  <c r="D11" i="27"/>
  <c r="F11" i="27" s="1"/>
  <c r="R10" i="27"/>
  <c r="L10" i="27"/>
  <c r="D10" i="27"/>
  <c r="F10" i="27" s="1"/>
  <c r="R9" i="27"/>
  <c r="L9" i="27"/>
  <c r="D9" i="27"/>
  <c r="F9" i="27" s="1"/>
  <c r="R8" i="27"/>
  <c r="L8" i="27"/>
  <c r="E8" i="27"/>
  <c r="E7" i="27" s="1"/>
  <c r="D8" i="27"/>
  <c r="R7" i="27"/>
  <c r="L7" i="27"/>
  <c r="C7" i="27"/>
  <c r="R6" i="27"/>
  <c r="L6" i="27"/>
  <c r="D6" i="27"/>
  <c r="F6" i="27" s="1"/>
  <c r="F19" i="27" l="1"/>
  <c r="F8" i="27"/>
  <c r="C14" i="27"/>
  <c r="C16" i="27"/>
  <c r="D16" i="27" s="1"/>
  <c r="F16" i="27" s="1"/>
  <c r="J34" i="27"/>
  <c r="Q34" i="27"/>
  <c r="D7" i="27"/>
  <c r="F7" i="27" s="1"/>
  <c r="K34" i="27"/>
  <c r="C15" i="27"/>
  <c r="D15" i="27" s="1"/>
  <c r="F15" i="27" s="1"/>
  <c r="C17" i="27"/>
  <c r="D17" i="27" s="1"/>
  <c r="F17" i="27" s="1"/>
  <c r="Q29" i="26"/>
  <c r="D23" i="26"/>
  <c r="F23" i="26" s="1"/>
  <c r="P36" i="26"/>
  <c r="R29" i="26"/>
  <c r="Q30" i="26"/>
  <c r="Q36" i="26" s="1"/>
  <c r="Q28" i="26"/>
  <c r="P24" i="26"/>
  <c r="R24" i="26" s="1"/>
  <c r="Q24" i="26"/>
  <c r="R35" i="26"/>
  <c r="R31" i="26"/>
  <c r="R28" i="26"/>
  <c r="R27" i="26"/>
  <c r="R26" i="26"/>
  <c r="R25" i="26"/>
  <c r="R23" i="26"/>
  <c r="R22" i="26"/>
  <c r="R20" i="26"/>
  <c r="R17" i="26"/>
  <c r="R16" i="26"/>
  <c r="R15" i="26"/>
  <c r="R14" i="26"/>
  <c r="R13" i="26"/>
  <c r="R11" i="26"/>
  <c r="R10" i="26"/>
  <c r="R9" i="26"/>
  <c r="R8" i="26"/>
  <c r="R7" i="26"/>
  <c r="R6" i="26"/>
  <c r="E28" i="26"/>
  <c r="E26" i="26"/>
  <c r="E25" i="26"/>
  <c r="E24" i="26"/>
  <c r="E20" i="26"/>
  <c r="E17" i="26"/>
  <c r="E16" i="26"/>
  <c r="E15" i="26"/>
  <c r="E13" i="26" s="1"/>
  <c r="E14" i="26"/>
  <c r="E11" i="26"/>
  <c r="E9" i="26"/>
  <c r="F9" i="26" s="1"/>
  <c r="E8" i="26"/>
  <c r="E7" i="26" s="1"/>
  <c r="E6" i="26"/>
  <c r="C41" i="26"/>
  <c r="F35" i="26"/>
  <c r="J36" i="26"/>
  <c r="D34" i="26"/>
  <c r="F34" i="26" s="1"/>
  <c r="L35" i="26"/>
  <c r="D33" i="26"/>
  <c r="J32" i="26"/>
  <c r="D32" i="26"/>
  <c r="L31" i="26"/>
  <c r="D31" i="26"/>
  <c r="F31" i="26" s="1"/>
  <c r="L30" i="26"/>
  <c r="F30" i="26"/>
  <c r="D30" i="26"/>
  <c r="D29" i="26"/>
  <c r="L28" i="26"/>
  <c r="F28" i="26"/>
  <c r="D28" i="26"/>
  <c r="L27" i="26"/>
  <c r="D27" i="26"/>
  <c r="F27" i="26" s="1"/>
  <c r="K26" i="26"/>
  <c r="D26" i="26"/>
  <c r="L25" i="26"/>
  <c r="F25" i="26"/>
  <c r="D25" i="26"/>
  <c r="K24" i="26"/>
  <c r="L24" i="26" s="1"/>
  <c r="D24" i="26"/>
  <c r="F24" i="26" s="1"/>
  <c r="L23" i="26"/>
  <c r="L22" i="26"/>
  <c r="D22" i="26"/>
  <c r="F22" i="26" s="1"/>
  <c r="D21" i="26"/>
  <c r="L20" i="26"/>
  <c r="D20" i="26"/>
  <c r="F20" i="26" s="1"/>
  <c r="C19" i="26"/>
  <c r="D18" i="26"/>
  <c r="L17" i="26"/>
  <c r="L16" i="26"/>
  <c r="L15" i="26"/>
  <c r="L14" i="26"/>
  <c r="L13" i="26"/>
  <c r="D12" i="26"/>
  <c r="L11" i="26"/>
  <c r="D11" i="26"/>
  <c r="F11" i="26" s="1"/>
  <c r="L10" i="26"/>
  <c r="D10" i="26"/>
  <c r="F10" i="26" s="1"/>
  <c r="L9" i="26"/>
  <c r="D9" i="26"/>
  <c r="L8" i="26"/>
  <c r="F8" i="26"/>
  <c r="D8" i="26"/>
  <c r="L7" i="26"/>
  <c r="C7" i="26"/>
  <c r="L6" i="26"/>
  <c r="D6" i="26"/>
  <c r="F6" i="26" s="1"/>
  <c r="L34" i="27" l="1"/>
  <c r="C13" i="27"/>
  <c r="D14" i="27"/>
  <c r="F14" i="27" s="1"/>
  <c r="R32" i="27"/>
  <c r="R34" i="27"/>
  <c r="F26" i="26"/>
  <c r="R30" i="26"/>
  <c r="K19" i="26"/>
  <c r="R19" i="26"/>
  <c r="F19" i="26"/>
  <c r="E36" i="26"/>
  <c r="K36" i="26"/>
  <c r="L36" i="26" s="1"/>
  <c r="L19" i="26"/>
  <c r="D7" i="26"/>
  <c r="F7" i="26" s="1"/>
  <c r="C17" i="26"/>
  <c r="D17" i="26" s="1"/>
  <c r="F17" i="26" s="1"/>
  <c r="L26" i="26"/>
  <c r="C16" i="26"/>
  <c r="D16" i="26" s="1"/>
  <c r="F16" i="26" s="1"/>
  <c r="C14" i="26"/>
  <c r="C15" i="26"/>
  <c r="D15" i="26" s="1"/>
  <c r="F15" i="26" s="1"/>
  <c r="E28" i="25"/>
  <c r="E26" i="25"/>
  <c r="E25" i="25"/>
  <c r="E24" i="25"/>
  <c r="E20" i="25"/>
  <c r="E17" i="25"/>
  <c r="E16" i="25"/>
  <c r="E15" i="25"/>
  <c r="E14" i="25"/>
  <c r="E11" i="25"/>
  <c r="E9" i="25"/>
  <c r="E8" i="25"/>
  <c r="E6" i="25"/>
  <c r="D13" i="27" l="1"/>
  <c r="C36" i="27"/>
  <c r="D14" i="26"/>
  <c r="F14" i="26" s="1"/>
  <c r="C13" i="26"/>
  <c r="K32" i="25"/>
  <c r="M33" i="25"/>
  <c r="M32" i="25"/>
  <c r="M31" i="25"/>
  <c r="M30" i="25"/>
  <c r="M28" i="25"/>
  <c r="M27" i="25"/>
  <c r="L26" i="25"/>
  <c r="L19" i="25" s="1"/>
  <c r="M25" i="25"/>
  <c r="M24" i="25"/>
  <c r="L24" i="25"/>
  <c r="M23" i="25"/>
  <c r="M22" i="25"/>
  <c r="M20" i="25"/>
  <c r="M17" i="25"/>
  <c r="M16" i="25"/>
  <c r="M15" i="25"/>
  <c r="M14" i="25"/>
  <c r="M13" i="25"/>
  <c r="M11" i="25"/>
  <c r="M10" i="25"/>
  <c r="M9" i="25"/>
  <c r="M8" i="25"/>
  <c r="M7" i="25"/>
  <c r="M6" i="25"/>
  <c r="C41" i="25"/>
  <c r="F35" i="25"/>
  <c r="D34" i="25"/>
  <c r="F34" i="25" s="1"/>
  <c r="D33" i="25"/>
  <c r="D32" i="25"/>
  <c r="D31" i="25"/>
  <c r="F31" i="25" s="1"/>
  <c r="D30" i="25"/>
  <c r="F30" i="25" s="1"/>
  <c r="D29" i="25"/>
  <c r="F28" i="25"/>
  <c r="D28" i="25"/>
  <c r="D27" i="25"/>
  <c r="F27" i="25" s="1"/>
  <c r="D26" i="25"/>
  <c r="F26" i="25" s="1"/>
  <c r="F25" i="25"/>
  <c r="D25" i="25"/>
  <c r="F24" i="25"/>
  <c r="D24" i="25"/>
  <c r="D23" i="25"/>
  <c r="F23" i="25" s="1"/>
  <c r="F22" i="25"/>
  <c r="D22" i="25"/>
  <c r="D21" i="25"/>
  <c r="F20" i="25"/>
  <c r="D20" i="25"/>
  <c r="D19" i="25"/>
  <c r="C19" i="25"/>
  <c r="D18" i="25"/>
  <c r="E13" i="25"/>
  <c r="D12" i="25"/>
  <c r="F11" i="25"/>
  <c r="D11" i="25"/>
  <c r="D10" i="25"/>
  <c r="F10" i="25" s="1"/>
  <c r="D9" i="25"/>
  <c r="F9" i="25" s="1"/>
  <c r="F8" i="25"/>
  <c r="D8" i="25"/>
  <c r="E7" i="25"/>
  <c r="F7" i="25" s="1"/>
  <c r="D7" i="25"/>
  <c r="C7" i="25"/>
  <c r="D6" i="25"/>
  <c r="E28" i="24"/>
  <c r="E26" i="24"/>
  <c r="F26" i="24" s="1"/>
  <c r="E25" i="24"/>
  <c r="E24" i="24"/>
  <c r="E20" i="24"/>
  <c r="E17" i="24"/>
  <c r="E15" i="24"/>
  <c r="E16" i="24"/>
  <c r="E14" i="24"/>
  <c r="E11" i="24"/>
  <c r="E9" i="24"/>
  <c r="E8" i="24"/>
  <c r="E6" i="24"/>
  <c r="C41" i="24"/>
  <c r="F35" i="24"/>
  <c r="D34" i="24"/>
  <c r="F34" i="24" s="1"/>
  <c r="D33" i="24"/>
  <c r="D32" i="24"/>
  <c r="D31" i="24"/>
  <c r="F31" i="24" s="1"/>
  <c r="F30" i="24"/>
  <c r="D30" i="24"/>
  <c r="D29" i="24"/>
  <c r="F28" i="24"/>
  <c r="D28" i="24"/>
  <c r="D27" i="24"/>
  <c r="F27" i="24" s="1"/>
  <c r="D26" i="24"/>
  <c r="F25" i="24"/>
  <c r="D25" i="24"/>
  <c r="D24" i="24"/>
  <c r="F24" i="24" s="1"/>
  <c r="D23" i="24"/>
  <c r="F23" i="24" s="1"/>
  <c r="F22" i="24"/>
  <c r="D22" i="24"/>
  <c r="D21" i="24"/>
  <c r="D20" i="24"/>
  <c r="F20" i="24" s="1"/>
  <c r="E19" i="24"/>
  <c r="C19" i="24"/>
  <c r="D19" i="24" s="1"/>
  <c r="D18" i="24"/>
  <c r="E13" i="24"/>
  <c r="D12" i="24"/>
  <c r="D11" i="24"/>
  <c r="D10" i="24"/>
  <c r="F10" i="24" s="1"/>
  <c r="E7" i="24"/>
  <c r="D9" i="24"/>
  <c r="F9" i="24" s="1"/>
  <c r="D8" i="24"/>
  <c r="F8" i="24" s="1"/>
  <c r="C7" i="24"/>
  <c r="D6" i="24"/>
  <c r="F6" i="24" s="1"/>
  <c r="F13" i="27" l="1"/>
  <c r="F36" i="27" s="1"/>
  <c r="D13" i="26"/>
  <c r="C36" i="26"/>
  <c r="L34" i="25"/>
  <c r="M19" i="25"/>
  <c r="M26" i="25"/>
  <c r="K34" i="25"/>
  <c r="M34" i="25" s="1"/>
  <c r="F6" i="25"/>
  <c r="E19" i="25"/>
  <c r="E36" i="25" s="1"/>
  <c r="C14" i="25"/>
  <c r="C15" i="25"/>
  <c r="D15" i="25" s="1"/>
  <c r="F15" i="25" s="1"/>
  <c r="C16" i="25"/>
  <c r="D16" i="25" s="1"/>
  <c r="F16" i="25" s="1"/>
  <c r="C17" i="25"/>
  <c r="D17" i="25" s="1"/>
  <c r="F17" i="25" s="1"/>
  <c r="F19" i="24"/>
  <c r="F11" i="24"/>
  <c r="E36" i="24"/>
  <c r="C15" i="24"/>
  <c r="D15" i="24" s="1"/>
  <c r="F15" i="24" s="1"/>
  <c r="C17" i="24"/>
  <c r="D17" i="24" s="1"/>
  <c r="F17" i="24" s="1"/>
  <c r="D7" i="24"/>
  <c r="C16" i="24"/>
  <c r="D16" i="24" s="1"/>
  <c r="F16" i="24" s="1"/>
  <c r="C14" i="24"/>
  <c r="F13" i="26" l="1"/>
  <c r="F36" i="26" s="1"/>
  <c r="D36" i="26"/>
  <c r="D14" i="25"/>
  <c r="F14" i="25" s="1"/>
  <c r="C13" i="25"/>
  <c r="F19" i="25"/>
  <c r="F7" i="24"/>
  <c r="D14" i="24"/>
  <c r="F14" i="24" s="1"/>
  <c r="C13" i="24"/>
  <c r="D13" i="25" l="1"/>
  <c r="C36" i="25"/>
  <c r="D13" i="24"/>
  <c r="C36" i="24"/>
  <c r="I4" i="33"/>
  <c r="I16" i="33"/>
  <c r="I17" i="33"/>
  <c r="I18" i="33"/>
  <c r="I19" i="33"/>
  <c r="G5" i="33"/>
  <c r="G6" i="33"/>
  <c r="I6" i="33" s="1"/>
  <c r="G7" i="33"/>
  <c r="I7" i="33" s="1"/>
  <c r="G8" i="33"/>
  <c r="I8" i="33" s="1"/>
  <c r="G9" i="33"/>
  <c r="I9" i="33" s="1"/>
  <c r="G10" i="33"/>
  <c r="G11" i="33"/>
  <c r="G12" i="33"/>
  <c r="G13" i="33"/>
  <c r="G14" i="33"/>
  <c r="N14" i="33" s="1"/>
  <c r="G15" i="33"/>
  <c r="G3" i="33"/>
  <c r="N3" i="33" s="1"/>
  <c r="C36" i="18"/>
  <c r="I3" i="33" l="1"/>
  <c r="F23" i="33"/>
  <c r="H23" i="33" s="1"/>
  <c r="I15" i="33"/>
  <c r="I14" i="33"/>
  <c r="I13" i="33"/>
  <c r="I12" i="33"/>
  <c r="I11" i="33"/>
  <c r="I10" i="33"/>
  <c r="I5" i="33"/>
  <c r="F13" i="25"/>
  <c r="F36" i="25" s="1"/>
  <c r="D36" i="25"/>
  <c r="F13" i="24"/>
  <c r="F36" i="24" s="1"/>
  <c r="D36" i="24"/>
  <c r="B45" i="18"/>
  <c r="N7" i="33"/>
  <c r="N9" i="33"/>
  <c r="N11" i="33"/>
  <c r="N13" i="33"/>
  <c r="N15" i="33"/>
  <c r="F22" i="33" l="1"/>
  <c r="H22" i="33" s="1"/>
  <c r="I20" i="33"/>
  <c r="I22" i="33" s="1"/>
  <c r="N16" i="33"/>
  <c r="N10" i="33"/>
  <c r="N6" i="33"/>
  <c r="N19" i="33"/>
  <c r="N17" i="33"/>
  <c r="N18" i="33"/>
  <c r="N5" i="33"/>
  <c r="N12" i="33"/>
  <c r="N8" i="33"/>
  <c r="N20" i="33" l="1"/>
  <c r="N22" i="33" s="1"/>
  <c r="C19" i="18" l="1"/>
  <c r="C7" i="18"/>
  <c r="C17" i="18" l="1"/>
  <c r="C16" i="18"/>
  <c r="C15" i="18"/>
  <c r="C14" i="18"/>
  <c r="C13" i="18" l="1"/>
</calcChain>
</file>

<file path=xl/sharedStrings.xml><?xml version="1.0" encoding="utf-8"?>
<sst xmlns="http://schemas.openxmlformats.org/spreadsheetml/2006/main" count="2467" uniqueCount="165">
  <si>
    <t>ФРЗ - ТД</t>
  </si>
  <si>
    <t>§ 01-01</t>
  </si>
  <si>
    <t>§ 02-00</t>
  </si>
  <si>
    <t>ИЗВЪНТРУДОВИ ПРАВООТН.</t>
  </si>
  <si>
    <t>§ 02-02</t>
  </si>
  <si>
    <t>СБКО</t>
  </si>
  <si>
    <t>§ 02-05</t>
  </si>
  <si>
    <t>ОБЕЗЩ. ЧЛ.222,224</t>
  </si>
  <si>
    <t>§ 02-08</t>
  </si>
  <si>
    <t>БОЛНИЧНИ</t>
  </si>
  <si>
    <t>§ 02-09</t>
  </si>
  <si>
    <t>ОСИГУРОВКИ ОБЩО</t>
  </si>
  <si>
    <t>§ 05-00</t>
  </si>
  <si>
    <t>ДОО - 11.42%</t>
  </si>
  <si>
    <t>§ 05-51</t>
  </si>
  <si>
    <t>УЧ.ПФ - 4.3%</t>
  </si>
  <si>
    <t>§ 05-52</t>
  </si>
  <si>
    <t>ЗО - 4.8%</t>
  </si>
  <si>
    <t>§ 05-60</t>
  </si>
  <si>
    <t>ДЗПО - 2.8%</t>
  </si>
  <si>
    <t>§ 05-80</t>
  </si>
  <si>
    <t>Храна ПГ</t>
  </si>
  <si>
    <t>§ 10-11</t>
  </si>
  <si>
    <t>учебни/КВАЛИФИКАЦИЯ</t>
  </si>
  <si>
    <t>§ 10-14</t>
  </si>
  <si>
    <t>§ 10-20</t>
  </si>
  <si>
    <t>РЕЗЕРВ</t>
  </si>
  <si>
    <t>§ 97-00</t>
  </si>
  <si>
    <t>ОБЩО</t>
  </si>
  <si>
    <t>§ 10-00</t>
  </si>
  <si>
    <t>§ 10-12</t>
  </si>
  <si>
    <t>§ 10-13</t>
  </si>
  <si>
    <t>МАТЕРИАЛИ</t>
  </si>
  <si>
    <t>§ 10-15</t>
  </si>
  <si>
    <t>ВОДА, ГОРИВА И ЕНЕРГИЯ</t>
  </si>
  <si>
    <t>§ 10-16</t>
  </si>
  <si>
    <t>ТЕКУЩ РЕМОНТ</t>
  </si>
  <si>
    <t>§ 10-30</t>
  </si>
  <si>
    <t>§ 10-51</t>
  </si>
  <si>
    <t>Остатък</t>
  </si>
  <si>
    <t>Издръжка в т.ч.</t>
  </si>
  <si>
    <t>Медикаменти</t>
  </si>
  <si>
    <t>Постелен инвентар и облекло</t>
  </si>
  <si>
    <t>ОУ "ХРИСТО БОТЕВ" - С. ДЖУРОВО</t>
  </si>
  <si>
    <t>Р-ДИ ЗА ВЪНШНИ УСЛУГИ</t>
  </si>
  <si>
    <t>КОМАНДИРОВКИ</t>
  </si>
  <si>
    <t>Р-ДИ ЗА ЗАСТРАХОВКИ</t>
  </si>
  <si>
    <t>ПЛАТЕНИ ДАНЪЦИ И ТАКСИ</t>
  </si>
  <si>
    <t>ОСНОВЕН РЕМОНТ НА ДМА</t>
  </si>
  <si>
    <t>§ 10-62</t>
  </si>
  <si>
    <t>§ 19-81</t>
  </si>
  <si>
    <t>§ 51-00</t>
  </si>
  <si>
    <t>НА ОУ "ХРИСТО БОТЕВ" С. ДЖУРОВО</t>
  </si>
  <si>
    <t>Изготвил: Борислава Игнатова</t>
  </si>
  <si>
    <t>Директор: Иванка Иванова</t>
  </si>
  <si>
    <t>БЮДЖЕТ - 2024- ПРОЕКТ "УСПЕХ ЗА ТЕБ"</t>
  </si>
  <si>
    <t>ТРАНСФЕР</t>
  </si>
  <si>
    <t>§ 63-01</t>
  </si>
  <si>
    <t>Бюджет за 2025</t>
  </si>
  <si>
    <t xml:space="preserve">БЮДЖЕТ - 2025- ПЪРВОНАЧАЛЕН ПЛАН </t>
  </si>
  <si>
    <t>Актуализ. Бюджет за 2025</t>
  </si>
  <si>
    <t>БЮДЖЕТ - 2025</t>
  </si>
  <si>
    <t>ОУ "ХРИСТО БОТЕВ" -                         С. ДЖУРОВО</t>
  </si>
  <si>
    <t>Иванка Борисова Иванова</t>
  </si>
  <si>
    <t>Надежда Цокова Иванова</t>
  </si>
  <si>
    <t>Лилия Мирославова Вутева</t>
  </si>
  <si>
    <t>Марина Найденова Василева</t>
  </si>
  <si>
    <t>Илонка Василева Недялкова</t>
  </si>
  <si>
    <t>Валентина Тодорова Александрова</t>
  </si>
  <si>
    <t>Весела Лазарова Велева</t>
  </si>
  <si>
    <t>Здравко Петров Станкулов</t>
  </si>
  <si>
    <t>Наталия Анатолиевна Петрова</t>
  </si>
  <si>
    <t>§ 51-01</t>
  </si>
  <si>
    <t>§ 51-03</t>
  </si>
  <si>
    <t>ПРИДОБИВАНЕ НА КОМПЮТРИ</t>
  </si>
  <si>
    <t>ПРИДОБИВАНЕ НА ДР.ОБОРУДВАНЕ</t>
  </si>
  <si>
    <t>Детелина Иванова Велева</t>
  </si>
  <si>
    <t>Даниела Начева Димитрова</t>
  </si>
  <si>
    <t>Величка Генкова Георгиева</t>
  </si>
  <si>
    <t>Румяна Христова Петкова</t>
  </si>
  <si>
    <t>Борислава Петрова Игнатова</t>
  </si>
  <si>
    <t>Надежда Йокова Маринова</t>
  </si>
  <si>
    <t>Лалка Докова Василева</t>
  </si>
  <si>
    <t>Христина Маринова Цветанова</t>
  </si>
  <si>
    <t>ДЛЪЖНОСТ</t>
  </si>
  <si>
    <t>ИМЕ</t>
  </si>
  <si>
    <t>ОБРАЗОВАНИЕ</t>
  </si>
  <si>
    <t>ОБЩ.ТР. СТАЖ</t>
  </si>
  <si>
    <t>ПЕДАГ. СТАЖ</t>
  </si>
  <si>
    <t>% КЛАС</t>
  </si>
  <si>
    <t>ПКС</t>
  </si>
  <si>
    <t>БРУТНА ЗАПЛАТА</t>
  </si>
  <si>
    <t>ОРЗ+КЛАС+ПКС</t>
  </si>
  <si>
    <t>Директор</t>
  </si>
  <si>
    <t>Старши учител - начален етап</t>
  </si>
  <si>
    <t>Старши учител - БЕЛ и Музика</t>
  </si>
  <si>
    <t>Старши учител - Математика</t>
  </si>
  <si>
    <t>Старши учител - ФВС и БЕЛ</t>
  </si>
  <si>
    <t>Старши учител - Руски език</t>
  </si>
  <si>
    <t>Старши учител - ЦДО</t>
  </si>
  <si>
    <t>Учител ЦДО - Прогимназиален етап</t>
  </si>
  <si>
    <t>Счетоводител</t>
  </si>
  <si>
    <t>Образователен медиатор</t>
  </si>
  <si>
    <t>Хигиенист</t>
  </si>
  <si>
    <t>Основно</t>
  </si>
  <si>
    <t>Магистър</t>
  </si>
  <si>
    <t>Професионален бакалавър</t>
  </si>
  <si>
    <t>Бакалавър</t>
  </si>
  <si>
    <t>Средно специално</t>
  </si>
  <si>
    <t>ПОДКРЕПА ЗА УСПЕХ</t>
  </si>
  <si>
    <t>УСПЕХ ЗА ТЕБ</t>
  </si>
  <si>
    <t>Педагогически персонал: 13</t>
  </si>
  <si>
    <t>Непедагогически персонал: 4</t>
  </si>
  <si>
    <t>Преходен остатък проекти</t>
  </si>
  <si>
    <t xml:space="preserve">РАВЕН ДОСТЪП </t>
  </si>
  <si>
    <t>Към 30.04.2025г.</t>
  </si>
  <si>
    <t>Към 31.05.2025г.</t>
  </si>
  <si>
    <t>Бюджет за 24/25</t>
  </si>
  <si>
    <t>Към 30.06.2025г.</t>
  </si>
  <si>
    <t>БЮДЖЕТ - 2025- ПРОЕКТ "STEM"</t>
  </si>
  <si>
    <t>§ 52-01</t>
  </si>
  <si>
    <t>§ 52-03</t>
  </si>
  <si>
    <t>§ 52-05</t>
  </si>
  <si>
    <t>§ 88-03</t>
  </si>
  <si>
    <t>Придобиване на компютри и хардуер</t>
  </si>
  <si>
    <t>Придобиване на др.оборудване</t>
  </si>
  <si>
    <t>Придобиване на стоп.инвентар</t>
  </si>
  <si>
    <t>Към 31.07.2025г.</t>
  </si>
  <si>
    <t>Към 31.08.2025г.</t>
  </si>
  <si>
    <t>ПП</t>
  </si>
  <si>
    <t>НП</t>
  </si>
  <si>
    <t>Към 30.09.2025г.</t>
  </si>
  <si>
    <t>МАШИНИ И СЪОРЪЖЕНИЯ</t>
  </si>
  <si>
    <t>СТОПАНСКИ ИНВЕНТАР</t>
  </si>
  <si>
    <t>Към 31.10.2025г.</t>
  </si>
  <si>
    <t>ПО ДОГОВОРИ ЗА ИЗПЪЛНЕНИЕ</t>
  </si>
  <si>
    <t>ПО ДОГОВОР ЗА ФИНАНСИРАНЕ</t>
  </si>
  <si>
    <t>Към 30.11.2025г.</t>
  </si>
  <si>
    <t>3522.56-§10-20 пътни</t>
  </si>
  <si>
    <t>уязвими</t>
  </si>
  <si>
    <t>§10-20 пътни</t>
  </si>
  <si>
    <t>ДМС Директор</t>
  </si>
  <si>
    <t>Към 31.12.2025г.</t>
  </si>
  <si>
    <t>изкуства и спорт 24/25</t>
  </si>
  <si>
    <t>корекция резерв</t>
  </si>
  <si>
    <t>неизразходвани пътни</t>
  </si>
  <si>
    <t>БЮДЖЕТ</t>
  </si>
  <si>
    <t>Успех за теб</t>
  </si>
  <si>
    <t>STEM</t>
  </si>
  <si>
    <t>Подкрепа за успеха</t>
  </si>
  <si>
    <t>Равен достъп</t>
  </si>
  <si>
    <t>общо проекти</t>
  </si>
  <si>
    <t>спрени помощи</t>
  </si>
  <si>
    <t>Бюджет за 2026</t>
  </si>
  <si>
    <t>Актуализ. Бюджет за 2026</t>
  </si>
  <si>
    <t>Към 31.01.2026г.</t>
  </si>
  <si>
    <t>Бюджет за 25/26</t>
  </si>
  <si>
    <t>БЮДЖЕТ - 2026</t>
  </si>
  <si>
    <t>БЮДЖЕТ - 2026- ПРОЕКТ "УСПЕХ ЗА ТЕБ"</t>
  </si>
  <si>
    <t>ОСН. РАБ.ЗАПЛАТА 01.01.2026</t>
  </si>
  <si>
    <t>ОСН. РАБ.ЗАПЛАТА 2026</t>
  </si>
  <si>
    <t>Към 28.02.2026г.</t>
  </si>
  <si>
    <t>Бюджет за 24/26</t>
  </si>
  <si>
    <t>KSF - 2025- ПРОЕКТ "STEM"</t>
  </si>
  <si>
    <t>Към 31.03.2026г.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</si>
</sst>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Arial"/>
      <family val="2"/>
      <charset val="204"/>
    </font>
    <font>
      <sz val="14"/>
      <color theme="1"/>
      <name val="Arial"/>
      <family val="2"/>
      <charset val="204"/>
    </font>
    <font>
      <sz val="16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b/>
      <sz val="14"/>
      <name val="Arial"/>
      <family val="2"/>
      <charset val="204"/>
    </font>
    <font>
      <sz val="14"/>
      <color rgb="FFFF0000"/>
      <name val="Arial"/>
      <family val="2"/>
      <charset val="204"/>
    </font>
    <font>
      <sz val="14"/>
      <name val="Arial"/>
      <family val="2"/>
      <charset val="204"/>
    </font>
    <font>
      <b/>
      <sz val="12"/>
      <color theme="1"/>
      <name val="Calibri"/>
      <family val="2"/>
      <charset val="204"/>
      <scheme val="minor"/>
    </font>
    <font>
      <sz val="12"/>
      <color theme="1"/>
      <name val="Arial"/>
      <family val="2"/>
      <charset val="204"/>
    </font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6"/>
      <name val="Arial"/>
      <family val="2"/>
      <charset val="204"/>
    </font>
    <font>
      <b/>
      <sz val="16"/>
      <color theme="1"/>
      <name val="Arial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9" fontId="15" fillId="0" borderId="0" applyFont="0" applyFill="0" applyBorder="0" applyAlignment="0" applyProtection="0"/>
  </cellStyleXfs>
  <cellXfs count="95">
    <xf numFmtId="0" fontId="0" fillId="0" borderId="0" xfId="0"/>
    <xf numFmtId="0" fontId="2" fillId="0" borderId="0" xfId="0" applyFont="1"/>
    <xf numFmtId="3" fontId="2" fillId="0" borderId="0" xfId="0" applyNumberFormat="1" applyFont="1"/>
    <xf numFmtId="0" fontId="5" fillId="0" borderId="1" xfId="0" applyFont="1" applyBorder="1"/>
    <xf numFmtId="0" fontId="6" fillId="0" borderId="1" xfId="0" applyFont="1" applyBorder="1"/>
    <xf numFmtId="0" fontId="7" fillId="0" borderId="0" xfId="0" applyFont="1"/>
    <xf numFmtId="0" fontId="7" fillId="2" borderId="0" xfId="0" applyFont="1" applyFill="1"/>
    <xf numFmtId="0" fontId="0" fillId="0" borderId="2" xfId="0" applyBorder="1"/>
    <xf numFmtId="1" fontId="4" fillId="5" borderId="4" xfId="0" applyNumberFormat="1" applyFont="1" applyFill="1" applyBorder="1" applyAlignment="1">
      <alignment horizontal="center" wrapText="1"/>
    </xf>
    <xf numFmtId="2" fontId="0" fillId="5" borderId="4" xfId="0" applyNumberFormat="1" applyFill="1" applyBorder="1" applyAlignment="1">
      <alignment horizontal="center" vertical="center" wrapText="1"/>
    </xf>
    <xf numFmtId="3" fontId="2" fillId="5" borderId="4" xfId="0" applyNumberFormat="1" applyFont="1" applyFill="1" applyBorder="1" applyAlignment="1">
      <alignment horizontal="center" vertical="center"/>
    </xf>
    <xf numFmtId="0" fontId="5" fillId="0" borderId="6" xfId="0" applyFont="1" applyBorder="1"/>
    <xf numFmtId="0" fontId="6" fillId="0" borderId="9" xfId="0" applyFont="1" applyBorder="1"/>
    <xf numFmtId="0" fontId="0" fillId="3" borderId="2" xfId="0" applyFill="1" applyBorder="1"/>
    <xf numFmtId="4" fontId="3" fillId="0" borderId="5" xfId="0" applyNumberFormat="1" applyFont="1" applyBorder="1"/>
    <xf numFmtId="4" fontId="3" fillId="0" borderId="2" xfId="0" applyNumberFormat="1" applyFont="1" applyBorder="1"/>
    <xf numFmtId="4" fontId="2" fillId="0" borderId="2" xfId="0" applyNumberFormat="1" applyFont="1" applyBorder="1"/>
    <xf numFmtId="4" fontId="5" fillId="0" borderId="2" xfId="0" applyNumberFormat="1" applyFont="1" applyBorder="1"/>
    <xf numFmtId="4" fontId="5" fillId="0" borderId="5" xfId="0" applyNumberFormat="1" applyFont="1" applyBorder="1"/>
    <xf numFmtId="4" fontId="6" fillId="0" borderId="2" xfId="0" applyNumberFormat="1" applyFont="1" applyBorder="1"/>
    <xf numFmtId="4" fontId="6" fillId="0" borderId="0" xfId="0" applyNumberFormat="1" applyFont="1"/>
    <xf numFmtId="3" fontId="10" fillId="0" borderId="2" xfId="0" applyNumberFormat="1" applyFont="1" applyBorder="1"/>
    <xf numFmtId="3" fontId="9" fillId="0" borderId="5" xfId="0" applyNumberFormat="1" applyFont="1" applyBorder="1"/>
    <xf numFmtId="3" fontId="9" fillId="0" borderId="2" xfId="0" applyNumberFormat="1" applyFont="1" applyFill="1" applyBorder="1"/>
    <xf numFmtId="3" fontId="11" fillId="0" borderId="2" xfId="0" applyNumberFormat="1" applyFont="1" applyBorder="1"/>
    <xf numFmtId="3" fontId="11" fillId="3" borderId="2" xfId="0" applyNumberFormat="1" applyFont="1" applyFill="1" applyBorder="1"/>
    <xf numFmtId="3" fontId="9" fillId="4" borderId="2" xfId="0" applyNumberFormat="1" applyFont="1" applyFill="1" applyBorder="1"/>
    <xf numFmtId="0" fontId="6" fillId="0" borderId="0" xfId="0" applyFont="1" applyFill="1" applyBorder="1"/>
    <xf numFmtId="0" fontId="0" fillId="0" borderId="0" xfId="0" applyFill="1" applyBorder="1"/>
    <xf numFmtId="4" fontId="0" fillId="0" borderId="0" xfId="0" applyNumberFormat="1" applyFill="1" applyBorder="1"/>
    <xf numFmtId="1" fontId="7" fillId="0" borderId="0" xfId="0" applyNumberFormat="1" applyFont="1" applyFill="1" applyBorder="1" applyAlignment="1">
      <alignment horizontal="center" wrapText="1"/>
    </xf>
    <xf numFmtId="2" fontId="0" fillId="0" borderId="0" xfId="0" applyNumberFormat="1" applyFill="1" applyBorder="1" applyAlignment="1">
      <alignment horizontal="center" vertical="center" wrapText="1"/>
    </xf>
    <xf numFmtId="3" fontId="2" fillId="0" borderId="0" xfId="0" applyNumberFormat="1" applyFont="1" applyFill="1" applyBorder="1" applyAlignment="1">
      <alignment horizontal="center" vertical="center"/>
    </xf>
    <xf numFmtId="3" fontId="9" fillId="0" borderId="0" xfId="0" applyNumberFormat="1" applyFont="1" applyFill="1" applyBorder="1"/>
    <xf numFmtId="4" fontId="5" fillId="0" borderId="0" xfId="0" applyNumberFormat="1" applyFont="1" applyFill="1" applyBorder="1"/>
    <xf numFmtId="3" fontId="5" fillId="0" borderId="0" xfId="0" applyNumberFormat="1" applyFont="1" applyFill="1" applyBorder="1"/>
    <xf numFmtId="3" fontId="11" fillId="0" borderId="0" xfId="0" applyNumberFormat="1" applyFont="1" applyFill="1" applyBorder="1"/>
    <xf numFmtId="4" fontId="6" fillId="0" borderId="0" xfId="0" applyNumberFormat="1" applyFont="1" applyFill="1" applyBorder="1"/>
    <xf numFmtId="0" fontId="0" fillId="0" borderId="0" xfId="0" applyFill="1" applyBorder="1" applyAlignment="1">
      <alignment wrapText="1"/>
    </xf>
    <xf numFmtId="0" fontId="1" fillId="0" borderId="0" xfId="0" applyFont="1" applyFill="1" applyBorder="1"/>
    <xf numFmtId="3" fontId="6" fillId="0" borderId="0" xfId="0" applyNumberFormat="1" applyFont="1" applyFill="1" applyBorder="1"/>
    <xf numFmtId="2" fontId="0" fillId="0" borderId="0" xfId="0" applyNumberFormat="1" applyFill="1" applyBorder="1" applyAlignment="1">
      <alignment wrapText="1"/>
    </xf>
    <xf numFmtId="0" fontId="8" fillId="0" borderId="2" xfId="0" applyFont="1" applyFill="1" applyBorder="1"/>
    <xf numFmtId="0" fontId="0" fillId="0" borderId="2" xfId="0" applyFill="1" applyBorder="1"/>
    <xf numFmtId="0" fontId="6" fillId="0" borderId="9" xfId="0" applyFont="1" applyFill="1" applyBorder="1"/>
    <xf numFmtId="3" fontId="11" fillId="0" borderId="2" xfId="0" applyNumberFormat="1" applyFont="1" applyFill="1" applyBorder="1"/>
    <xf numFmtId="4" fontId="5" fillId="0" borderId="2" xfId="0" applyNumberFormat="1" applyFont="1" applyFill="1" applyBorder="1"/>
    <xf numFmtId="0" fontId="0" fillId="0" borderId="10" xfId="0" applyBorder="1"/>
    <xf numFmtId="0" fontId="12" fillId="0" borderId="10" xfId="0" applyFont="1" applyFill="1" applyBorder="1"/>
    <xf numFmtId="4" fontId="6" fillId="0" borderId="2" xfId="0" applyNumberFormat="1" applyFont="1" applyFill="1" applyBorder="1"/>
    <xf numFmtId="3" fontId="6" fillId="0" borderId="0" xfId="0" applyNumberFormat="1" applyFont="1" applyFill="1"/>
    <xf numFmtId="0" fontId="1" fillId="0" borderId="0" xfId="0" applyFont="1"/>
    <xf numFmtId="4" fontId="2" fillId="0" borderId="0" xfId="0" applyNumberFormat="1" applyFont="1"/>
    <xf numFmtId="0" fontId="2" fillId="0" borderId="0" xfId="0" applyFont="1" applyFill="1" applyBorder="1"/>
    <xf numFmtId="0" fontId="2" fillId="0" borderId="0" xfId="0" applyFont="1" applyFill="1" applyBorder="1" applyAlignment="1">
      <alignment wrapText="1"/>
    </xf>
    <xf numFmtId="4" fontId="9" fillId="4" borderId="2" xfId="0" applyNumberFormat="1" applyFont="1" applyFill="1" applyBorder="1"/>
    <xf numFmtId="4" fontId="13" fillId="0" borderId="0" xfId="0" applyNumberFormat="1" applyFont="1"/>
    <xf numFmtId="4" fontId="11" fillId="0" borderId="2" xfId="0" applyNumberFormat="1" applyFont="1" applyBorder="1"/>
    <xf numFmtId="2" fontId="14" fillId="5" borderId="4" xfId="0" applyNumberFormat="1" applyFont="1" applyFill="1" applyBorder="1" applyAlignment="1">
      <alignment horizontal="center" vertical="center" wrapText="1"/>
    </xf>
    <xf numFmtId="0" fontId="3" fillId="0" borderId="0" xfId="0" applyFont="1"/>
    <xf numFmtId="0" fontId="3" fillId="0" borderId="2" xfId="0" applyFont="1" applyBorder="1"/>
    <xf numFmtId="0" fontId="3" fillId="4" borderId="2" xfId="0" applyFont="1" applyFill="1" applyBorder="1"/>
    <xf numFmtId="0" fontId="3" fillId="4" borderId="0" xfId="0" applyFont="1" applyFill="1"/>
    <xf numFmtId="0" fontId="3" fillId="0" borderId="0" xfId="1" applyNumberFormat="1" applyFont="1"/>
    <xf numFmtId="0" fontId="12" fillId="0" borderId="0" xfId="0" applyFont="1"/>
    <xf numFmtId="0" fontId="12" fillId="0" borderId="0" xfId="0" applyFont="1" applyAlignment="1">
      <alignment wrapText="1"/>
    </xf>
    <xf numFmtId="0" fontId="3" fillId="0" borderId="2" xfId="0" applyFont="1" applyBorder="1" applyAlignment="1">
      <alignment wrapText="1"/>
    </xf>
    <xf numFmtId="0" fontId="3" fillId="0" borderId="2" xfId="1" applyNumberFormat="1" applyFont="1" applyBorder="1"/>
    <xf numFmtId="0" fontId="1" fillId="0" borderId="0" xfId="0" applyFont="1" applyFill="1" applyBorder="1" applyAlignment="1">
      <alignment horizontal="right" vertical="center"/>
    </xf>
    <xf numFmtId="0" fontId="1" fillId="0" borderId="0" xfId="0" applyFont="1" applyFill="1" applyBorder="1" applyAlignment="1">
      <alignment horizontal="right" vertical="center" wrapText="1"/>
    </xf>
    <xf numFmtId="2" fontId="0" fillId="0" borderId="2" xfId="0" applyNumberFormat="1" applyBorder="1"/>
    <xf numFmtId="4" fontId="11" fillId="3" borderId="2" xfId="0" applyNumberFormat="1" applyFont="1" applyFill="1" applyBorder="1"/>
    <xf numFmtId="0" fontId="6" fillId="0" borderId="2" xfId="0" applyFont="1" applyBorder="1"/>
    <xf numFmtId="3" fontId="3" fillId="0" borderId="2" xfId="0" applyNumberFormat="1" applyFont="1" applyBorder="1"/>
    <xf numFmtId="0" fontId="2" fillId="0" borderId="2" xfId="0" applyFont="1" applyBorder="1"/>
    <xf numFmtId="2" fontId="2" fillId="0" borderId="2" xfId="0" applyNumberFormat="1" applyFont="1" applyBorder="1"/>
    <xf numFmtId="2" fontId="3" fillId="0" borderId="0" xfId="0" applyNumberFormat="1" applyFont="1"/>
    <xf numFmtId="4" fontId="9" fillId="0" borderId="0" xfId="0" applyNumberFormat="1" applyFont="1" applyFill="1" applyBorder="1"/>
    <xf numFmtId="0" fontId="5" fillId="0" borderId="0" xfId="0" applyFont="1" applyFill="1" applyBorder="1"/>
    <xf numFmtId="1" fontId="3" fillId="0" borderId="0" xfId="0" applyNumberFormat="1" applyFont="1" applyFill="1" applyBorder="1" applyAlignment="1">
      <alignment horizontal="right" wrapText="1"/>
    </xf>
    <xf numFmtId="4" fontId="11" fillId="0" borderId="0" xfId="0" applyNumberFormat="1" applyFont="1" applyFill="1" applyBorder="1"/>
    <xf numFmtId="4" fontId="17" fillId="0" borderId="0" xfId="0" applyNumberFormat="1" applyFont="1" applyFill="1" applyBorder="1"/>
    <xf numFmtId="4" fontId="16" fillId="0" borderId="0" xfId="0" applyNumberFormat="1" applyFont="1" applyFill="1" applyBorder="1"/>
    <xf numFmtId="2" fontId="4" fillId="0" borderId="0" xfId="0" applyNumberFormat="1" applyFont="1" applyFill="1" applyBorder="1" applyAlignment="1">
      <alignment horizontal="right" wrapText="1"/>
    </xf>
    <xf numFmtId="0" fontId="3" fillId="0" borderId="1" xfId="0" applyFont="1" applyBorder="1"/>
    <xf numFmtId="4" fontId="2" fillId="4" borderId="2" xfId="0" applyNumberFormat="1" applyFont="1" applyFill="1" applyBorder="1"/>
    <xf numFmtId="49" fontId="0" fillId="0" borderId="2" xfId="0" applyNumberFormat="1" applyBorder="1" applyAlignment="1">
      <alignment horizontal="center"/>
    </xf>
    <xf numFmtId="0" fontId="12" fillId="0" borderId="0" xfId="0" applyFont="1" applyAlignment="1">
      <alignment horizontal="center"/>
    </xf>
    <xf numFmtId="2" fontId="3" fillId="5" borderId="8" xfId="0" applyNumberFormat="1" applyFont="1" applyFill="1" applyBorder="1" applyAlignment="1">
      <alignment horizontal="center" vertical="center" wrapText="1"/>
    </xf>
    <xf numFmtId="2" fontId="3" fillId="5" borderId="7" xfId="0" applyNumberFormat="1" applyFont="1" applyFill="1" applyBorder="1" applyAlignment="1">
      <alignment horizontal="center" vertical="center" wrapText="1"/>
    </xf>
    <xf numFmtId="0" fontId="0" fillId="0" borderId="3" xfId="0" applyBorder="1" applyAlignment="1">
      <alignment horizontal="left" vertical="top"/>
    </xf>
    <xf numFmtId="0" fontId="0" fillId="0" borderId="5" xfId="0" applyBorder="1" applyAlignment="1">
      <alignment horizontal="left" vertical="top"/>
    </xf>
    <xf numFmtId="0" fontId="1" fillId="0" borderId="0" xfId="0" applyFont="1" applyFill="1" applyBorder="1" applyAlignment="1">
      <alignment horizontal="center" vertical="center" wrapText="1"/>
    </xf>
    <xf numFmtId="2" fontId="3" fillId="0" borderId="0" xfId="0" applyNumberFormat="1" applyFont="1" applyFill="1" applyBorder="1" applyAlignment="1">
      <alignment horizontal="left"/>
    </xf>
    <xf numFmtId="2" fontId="4" fillId="0" borderId="0" xfId="0" applyNumberFormat="1" applyFont="1" applyFill="1" applyBorder="1" applyAlignment="1">
      <alignment horizontal="left"/>
    </xf>
  </cellXfs>
  <cellStyles count="2">
    <cellStyle name="Нормален" xfId="0" builtinId="0"/>
    <cellStyle name="Процент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Тема на Office">
  <a:themeElements>
    <a:clrScheme name="О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"/>
  <sheetViews>
    <sheetView workbookViewId="0">
      <selection activeCell="N2" sqref="N2:N18"/>
    </sheetView>
  </sheetViews>
  <sheetFormatPr defaultRowHeight="15" x14ac:dyDescent="0.25"/>
  <cols>
    <col min="1" max="1" width="43" customWidth="1"/>
    <col min="2" max="13" width="4.7109375" customWidth="1"/>
  </cols>
  <sheetData>
    <row r="1" spans="1:14" x14ac:dyDescent="0.25">
      <c r="B1" s="7">
        <v>1</v>
      </c>
      <c r="C1" s="7">
        <v>2</v>
      </c>
      <c r="D1" s="7">
        <v>3</v>
      </c>
      <c r="E1" s="7">
        <v>4</v>
      </c>
      <c r="F1" s="7">
        <v>5</v>
      </c>
      <c r="G1" s="7">
        <v>6</v>
      </c>
      <c r="H1" s="7">
        <v>7</v>
      </c>
      <c r="I1" s="7">
        <v>8</v>
      </c>
      <c r="J1" s="7">
        <v>9</v>
      </c>
      <c r="K1" s="7">
        <v>10</v>
      </c>
      <c r="L1" s="7">
        <v>11</v>
      </c>
      <c r="M1" s="7">
        <v>12</v>
      </c>
    </row>
    <row r="2" spans="1:14" ht="18.75" x14ac:dyDescent="0.3">
      <c r="A2" s="84" t="s">
        <v>63</v>
      </c>
      <c r="B2" s="7">
        <v>2</v>
      </c>
      <c r="C2" s="7"/>
      <c r="D2" s="7">
        <v>1</v>
      </c>
      <c r="E2" s="7">
        <v>6</v>
      </c>
      <c r="F2" s="7"/>
      <c r="G2" s="7"/>
      <c r="H2" s="7">
        <v>11</v>
      </c>
      <c r="I2" s="7">
        <v>19</v>
      </c>
      <c r="J2" s="7"/>
      <c r="K2" s="7">
        <v>6</v>
      </c>
      <c r="L2" s="7">
        <v>4</v>
      </c>
      <c r="M2" s="7">
        <v>2</v>
      </c>
      <c r="N2" s="7">
        <f>SUM(B2:M2)</f>
        <v>51</v>
      </c>
    </row>
    <row r="3" spans="1:14" ht="18.75" x14ac:dyDescent="0.3">
      <c r="A3" s="84" t="s">
        <v>64</v>
      </c>
      <c r="B3" s="7">
        <v>2</v>
      </c>
      <c r="C3" s="7">
        <v>1</v>
      </c>
      <c r="D3" s="7">
        <v>1</v>
      </c>
      <c r="E3" s="7">
        <v>4</v>
      </c>
      <c r="F3" s="7">
        <v>1</v>
      </c>
      <c r="G3" s="7">
        <v>7</v>
      </c>
      <c r="H3" s="7">
        <v>18</v>
      </c>
      <c r="I3" s="7">
        <v>21</v>
      </c>
      <c r="J3" s="7">
        <v>1</v>
      </c>
      <c r="K3" s="7">
        <v>1</v>
      </c>
      <c r="L3" s="7"/>
      <c r="M3" s="7">
        <v>2</v>
      </c>
      <c r="N3" s="7">
        <f t="shared" ref="N3:N18" si="0">SUM(B3:M3)</f>
        <v>59</v>
      </c>
    </row>
    <row r="4" spans="1:14" ht="18.75" x14ac:dyDescent="0.3">
      <c r="A4" s="84" t="s">
        <v>66</v>
      </c>
      <c r="B4" s="7">
        <v>2</v>
      </c>
      <c r="C4" s="7">
        <v>1</v>
      </c>
      <c r="D4" s="7">
        <v>1</v>
      </c>
      <c r="E4" s="7">
        <v>4</v>
      </c>
      <c r="F4" s="7"/>
      <c r="G4" s="7">
        <v>6</v>
      </c>
      <c r="H4" s="7">
        <v>18</v>
      </c>
      <c r="I4" s="7">
        <v>21</v>
      </c>
      <c r="J4" s="7"/>
      <c r="K4" s="7">
        <v>1</v>
      </c>
      <c r="L4" s="7"/>
      <c r="M4" s="7">
        <v>2</v>
      </c>
      <c r="N4" s="7">
        <f t="shared" si="0"/>
        <v>56</v>
      </c>
    </row>
    <row r="5" spans="1:14" ht="18.75" x14ac:dyDescent="0.3">
      <c r="A5" s="84" t="s">
        <v>67</v>
      </c>
      <c r="B5" s="7">
        <v>2</v>
      </c>
      <c r="C5" s="7">
        <v>1</v>
      </c>
      <c r="D5" s="7">
        <v>1</v>
      </c>
      <c r="E5" s="7">
        <v>4</v>
      </c>
      <c r="F5" s="7">
        <v>1</v>
      </c>
      <c r="G5" s="7">
        <v>6</v>
      </c>
      <c r="H5" s="7">
        <v>23</v>
      </c>
      <c r="I5" s="7">
        <v>16</v>
      </c>
      <c r="J5" s="7"/>
      <c r="K5" s="7">
        <v>1</v>
      </c>
      <c r="L5" s="7"/>
      <c r="M5" s="7">
        <v>2</v>
      </c>
      <c r="N5" s="7">
        <f t="shared" si="0"/>
        <v>57</v>
      </c>
    </row>
    <row r="6" spans="1:14" ht="18.75" x14ac:dyDescent="0.3">
      <c r="A6" s="84" t="s">
        <v>68</v>
      </c>
      <c r="B6" s="7">
        <v>2</v>
      </c>
      <c r="C6" s="7">
        <v>1</v>
      </c>
      <c r="D6" s="7">
        <v>1</v>
      </c>
      <c r="E6" s="7">
        <v>4</v>
      </c>
      <c r="F6" s="7">
        <v>1</v>
      </c>
      <c r="G6" s="7"/>
      <c r="H6" s="7">
        <v>19</v>
      </c>
      <c r="I6" s="7">
        <v>16</v>
      </c>
      <c r="J6" s="7">
        <v>5</v>
      </c>
      <c r="K6" s="7">
        <v>1</v>
      </c>
      <c r="L6" s="7"/>
      <c r="M6" s="7">
        <v>2</v>
      </c>
      <c r="N6" s="7">
        <f t="shared" si="0"/>
        <v>52</v>
      </c>
    </row>
    <row r="7" spans="1:14" ht="18.75" x14ac:dyDescent="0.3">
      <c r="A7" s="84" t="s">
        <v>71</v>
      </c>
      <c r="B7" s="7">
        <v>2</v>
      </c>
      <c r="C7" s="7">
        <v>1</v>
      </c>
      <c r="D7" s="7">
        <v>1</v>
      </c>
      <c r="E7" s="7">
        <v>4</v>
      </c>
      <c r="F7" s="7">
        <v>1</v>
      </c>
      <c r="G7" s="7"/>
      <c r="H7" s="7">
        <v>22</v>
      </c>
      <c r="I7" s="7">
        <v>21</v>
      </c>
      <c r="J7" s="7">
        <v>2</v>
      </c>
      <c r="K7" s="7">
        <v>9</v>
      </c>
      <c r="L7" s="7"/>
      <c r="M7" s="7">
        <v>2</v>
      </c>
      <c r="N7" s="7">
        <f t="shared" si="0"/>
        <v>65</v>
      </c>
    </row>
    <row r="8" spans="1:14" ht="18.75" x14ac:dyDescent="0.3">
      <c r="A8" s="84" t="s">
        <v>69</v>
      </c>
      <c r="B8" s="7">
        <v>2</v>
      </c>
      <c r="C8" s="7">
        <v>1</v>
      </c>
      <c r="D8" s="7">
        <v>1</v>
      </c>
      <c r="E8" s="7">
        <v>4</v>
      </c>
      <c r="F8" s="7"/>
      <c r="G8" s="7">
        <v>1</v>
      </c>
      <c r="H8" s="7">
        <v>19</v>
      </c>
      <c r="I8" s="7">
        <v>21</v>
      </c>
      <c r="J8" s="7"/>
      <c r="K8" s="7">
        <v>1</v>
      </c>
      <c r="L8" s="7"/>
      <c r="M8" s="7">
        <v>5</v>
      </c>
      <c r="N8" s="7">
        <f t="shared" si="0"/>
        <v>55</v>
      </c>
    </row>
    <row r="9" spans="1:14" ht="18.75" x14ac:dyDescent="0.3">
      <c r="A9" s="84" t="s">
        <v>82</v>
      </c>
      <c r="B9" s="7"/>
      <c r="C9" s="7"/>
      <c r="D9" s="7"/>
      <c r="E9" s="7">
        <v>1</v>
      </c>
      <c r="F9" s="7"/>
      <c r="G9" s="7"/>
      <c r="H9" s="7">
        <v>1</v>
      </c>
      <c r="I9" s="7">
        <v>15</v>
      </c>
      <c r="J9" s="7"/>
      <c r="K9" s="7"/>
      <c r="L9" s="7"/>
      <c r="M9" s="7">
        <v>2</v>
      </c>
      <c r="N9" s="7">
        <f t="shared" si="0"/>
        <v>19</v>
      </c>
    </row>
    <row r="10" spans="1:14" ht="18.75" x14ac:dyDescent="0.3">
      <c r="A10" s="84" t="s">
        <v>80</v>
      </c>
      <c r="B10" s="7"/>
      <c r="C10" s="7">
        <v>1</v>
      </c>
      <c r="D10" s="7">
        <v>1</v>
      </c>
      <c r="E10" s="7">
        <v>1</v>
      </c>
      <c r="F10" s="7"/>
      <c r="G10" s="7"/>
      <c r="H10" s="7">
        <v>4</v>
      </c>
      <c r="I10" s="7">
        <v>5</v>
      </c>
      <c r="J10" s="7"/>
      <c r="K10" s="7">
        <v>1</v>
      </c>
      <c r="L10" s="7">
        <v>1</v>
      </c>
      <c r="M10" s="7"/>
      <c r="N10" s="7">
        <f t="shared" si="0"/>
        <v>14</v>
      </c>
    </row>
    <row r="11" spans="1:14" ht="18.75" x14ac:dyDescent="0.3">
      <c r="A11" s="84" t="s">
        <v>70</v>
      </c>
      <c r="B11" s="7">
        <v>2</v>
      </c>
      <c r="C11" s="7">
        <v>1</v>
      </c>
      <c r="D11" s="7">
        <v>1</v>
      </c>
      <c r="E11" s="7">
        <v>4</v>
      </c>
      <c r="F11" s="7">
        <v>1</v>
      </c>
      <c r="G11" s="7"/>
      <c r="H11" s="7">
        <v>23</v>
      </c>
      <c r="I11" s="7">
        <v>21</v>
      </c>
      <c r="J11" s="7">
        <v>1</v>
      </c>
      <c r="K11" s="7">
        <v>1</v>
      </c>
      <c r="L11" s="7"/>
      <c r="M11" s="7">
        <v>2</v>
      </c>
      <c r="N11" s="7">
        <f t="shared" si="0"/>
        <v>57</v>
      </c>
    </row>
    <row r="12" spans="1:14" ht="18.75" x14ac:dyDescent="0.3">
      <c r="A12" s="84" t="s">
        <v>77</v>
      </c>
      <c r="B12" s="7">
        <v>2</v>
      </c>
      <c r="C12" s="7">
        <v>1</v>
      </c>
      <c r="D12" s="7">
        <v>1</v>
      </c>
      <c r="E12" s="7">
        <v>4</v>
      </c>
      <c r="F12" s="7">
        <v>1</v>
      </c>
      <c r="G12" s="7">
        <v>6</v>
      </c>
      <c r="H12" s="7">
        <v>23</v>
      </c>
      <c r="I12" s="7">
        <v>21</v>
      </c>
      <c r="J12" s="7"/>
      <c r="K12" s="7">
        <v>1</v>
      </c>
      <c r="L12" s="7"/>
      <c r="M12" s="7">
        <v>2</v>
      </c>
      <c r="N12" s="7">
        <f t="shared" si="0"/>
        <v>62</v>
      </c>
    </row>
    <row r="13" spans="1:14" ht="18.75" x14ac:dyDescent="0.3">
      <c r="A13" s="84" t="s">
        <v>76</v>
      </c>
      <c r="B13" s="7">
        <v>2</v>
      </c>
      <c r="C13" s="7">
        <v>1</v>
      </c>
      <c r="D13" s="7">
        <v>1</v>
      </c>
      <c r="E13" s="7">
        <v>4</v>
      </c>
      <c r="F13" s="7"/>
      <c r="G13" s="7">
        <v>7</v>
      </c>
      <c r="H13" s="7">
        <v>18</v>
      </c>
      <c r="I13" s="7">
        <v>16</v>
      </c>
      <c r="J13" s="7"/>
      <c r="K13" s="7">
        <v>1</v>
      </c>
      <c r="L13" s="7"/>
      <c r="M13" s="7">
        <v>2</v>
      </c>
      <c r="N13" s="7">
        <f t="shared" si="0"/>
        <v>52</v>
      </c>
    </row>
    <row r="14" spans="1:14" ht="18.75" x14ac:dyDescent="0.3">
      <c r="A14" s="84" t="s">
        <v>65</v>
      </c>
      <c r="B14" s="7">
        <v>2</v>
      </c>
      <c r="C14" s="7">
        <v>1</v>
      </c>
      <c r="D14" s="7">
        <v>1</v>
      </c>
      <c r="E14" s="7">
        <v>4</v>
      </c>
      <c r="F14" s="7"/>
      <c r="G14" s="7">
        <v>8</v>
      </c>
      <c r="H14" s="7">
        <v>23</v>
      </c>
      <c r="I14" s="7">
        <v>16</v>
      </c>
      <c r="J14" s="7"/>
      <c r="K14" s="7">
        <v>1</v>
      </c>
      <c r="L14" s="7"/>
      <c r="M14" s="7">
        <v>2</v>
      </c>
      <c r="N14" s="7">
        <f t="shared" si="0"/>
        <v>58</v>
      </c>
    </row>
    <row r="15" spans="1:14" ht="18.75" x14ac:dyDescent="0.3">
      <c r="A15" s="84" t="s">
        <v>79</v>
      </c>
      <c r="B15" s="7"/>
      <c r="C15" s="7">
        <v>1</v>
      </c>
      <c r="D15" s="7">
        <v>1</v>
      </c>
      <c r="E15" s="7">
        <v>4</v>
      </c>
      <c r="F15" s="7">
        <v>1</v>
      </c>
      <c r="G15" s="7">
        <v>2</v>
      </c>
      <c r="H15" s="7">
        <v>23</v>
      </c>
      <c r="I15" s="7">
        <v>21</v>
      </c>
      <c r="J15" s="7"/>
      <c r="K15" s="7">
        <v>1</v>
      </c>
      <c r="L15" s="7"/>
      <c r="M15" s="7">
        <v>2</v>
      </c>
      <c r="N15" s="7">
        <f t="shared" si="0"/>
        <v>56</v>
      </c>
    </row>
    <row r="16" spans="1:14" ht="18.75" x14ac:dyDescent="0.3">
      <c r="A16" s="84" t="s">
        <v>78</v>
      </c>
      <c r="B16" s="7">
        <v>2</v>
      </c>
      <c r="C16" s="7">
        <v>1</v>
      </c>
      <c r="D16" s="7">
        <v>1</v>
      </c>
      <c r="E16" s="7">
        <v>2</v>
      </c>
      <c r="F16" s="7">
        <v>1</v>
      </c>
      <c r="G16" s="7">
        <v>11</v>
      </c>
      <c r="H16" s="7">
        <v>19</v>
      </c>
      <c r="I16" s="7">
        <v>20</v>
      </c>
      <c r="J16" s="7">
        <v>1</v>
      </c>
      <c r="K16" s="7">
        <v>1</v>
      </c>
      <c r="L16" s="7"/>
      <c r="M16" s="7">
        <v>2</v>
      </c>
      <c r="N16" s="7">
        <f t="shared" si="0"/>
        <v>61</v>
      </c>
    </row>
    <row r="17" spans="1:14" ht="18.75" x14ac:dyDescent="0.3">
      <c r="A17" s="84" t="s">
        <v>81</v>
      </c>
      <c r="B17" s="7"/>
      <c r="C17" s="7"/>
      <c r="D17" s="7"/>
      <c r="E17" s="7"/>
      <c r="F17" s="7">
        <v>3</v>
      </c>
      <c r="G17" s="7"/>
      <c r="H17" s="7"/>
      <c r="I17" s="7"/>
      <c r="J17" s="7"/>
      <c r="K17" s="7"/>
      <c r="L17" s="7"/>
      <c r="M17" s="7"/>
      <c r="N17" s="7">
        <f t="shared" si="0"/>
        <v>3</v>
      </c>
    </row>
    <row r="18" spans="1:14" ht="18.75" x14ac:dyDescent="0.3">
      <c r="A18" s="84" t="s">
        <v>83</v>
      </c>
      <c r="B18" s="7">
        <v>2</v>
      </c>
      <c r="C18" s="7"/>
      <c r="D18" s="7"/>
      <c r="E18" s="7"/>
      <c r="F18" s="7"/>
      <c r="G18" s="7"/>
      <c r="H18" s="7">
        <v>9</v>
      </c>
      <c r="I18" s="7">
        <v>21</v>
      </c>
      <c r="J18" s="7"/>
      <c r="K18" s="7"/>
      <c r="L18" s="7"/>
      <c r="M18" s="7"/>
      <c r="N18" s="7">
        <f t="shared" si="0"/>
        <v>32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U23"/>
  <sheetViews>
    <sheetView zoomScale="70" zoomScaleNormal="70" workbookViewId="0">
      <selection activeCell="G3" sqref="G3:G19"/>
    </sheetView>
  </sheetViews>
  <sheetFormatPr defaultRowHeight="15" x14ac:dyDescent="0.25"/>
  <cols>
    <col min="1" max="1" width="42.42578125" customWidth="1"/>
    <col min="2" max="2" width="22" customWidth="1"/>
    <col min="3" max="3" width="20.28515625" customWidth="1"/>
    <col min="4" max="4" width="9.42578125" customWidth="1"/>
    <col min="6" max="6" width="15.85546875" customWidth="1"/>
    <col min="8" max="8" width="10.5703125" bestFit="1" customWidth="1"/>
    <col min="9" max="9" width="13.140625" customWidth="1"/>
    <col min="12" max="12" width="16" customWidth="1"/>
    <col min="14" max="14" width="15.7109375" customWidth="1"/>
    <col min="21" max="21" width="19.140625" customWidth="1"/>
  </cols>
  <sheetData>
    <row r="2" spans="1:21" s="64" customFormat="1" ht="47.25" x14ac:dyDescent="0.25">
      <c r="A2" s="64" t="s">
        <v>85</v>
      </c>
      <c r="B2" s="64" t="s">
        <v>84</v>
      </c>
      <c r="C2" s="65" t="s">
        <v>86</v>
      </c>
      <c r="D2" s="65" t="s">
        <v>87</v>
      </c>
      <c r="E2" s="65" t="s">
        <v>88</v>
      </c>
      <c r="F2" s="65" t="s">
        <v>160</v>
      </c>
      <c r="G2" s="64" t="s">
        <v>89</v>
      </c>
      <c r="H2" s="64" t="s">
        <v>90</v>
      </c>
      <c r="I2" s="65" t="s">
        <v>91</v>
      </c>
      <c r="L2" s="65" t="s">
        <v>159</v>
      </c>
      <c r="N2" s="64" t="s">
        <v>92</v>
      </c>
    </row>
    <row r="3" spans="1:21" s="59" customFormat="1" ht="30.75" customHeight="1" x14ac:dyDescent="0.3">
      <c r="A3" s="60" t="s">
        <v>63</v>
      </c>
      <c r="B3" s="60" t="s">
        <v>93</v>
      </c>
      <c r="C3" s="60" t="s">
        <v>105</v>
      </c>
      <c r="D3" s="60">
        <v>38</v>
      </c>
      <c r="E3" s="60">
        <v>38</v>
      </c>
      <c r="F3" s="67">
        <v>1694.32</v>
      </c>
      <c r="G3" s="60">
        <f>F3*E3%</f>
        <v>643.84159999999997</v>
      </c>
      <c r="H3" s="60">
        <v>55</v>
      </c>
      <c r="I3" s="60">
        <f>F3+G3+H3</f>
        <v>2393.1615999999999</v>
      </c>
      <c r="L3" s="63">
        <f>F3</f>
        <v>1694.32</v>
      </c>
      <c r="N3" s="76">
        <f>L3+G3+H3</f>
        <v>2393.1615999999999</v>
      </c>
      <c r="Q3" s="60">
        <v>2744</v>
      </c>
    </row>
    <row r="4" spans="1:21" s="59" customFormat="1" ht="37.5" x14ac:dyDescent="0.3">
      <c r="A4" s="60" t="s">
        <v>64</v>
      </c>
      <c r="B4" s="66" t="s">
        <v>94</v>
      </c>
      <c r="C4" s="60" t="s">
        <v>105</v>
      </c>
      <c r="D4" s="60">
        <v>38</v>
      </c>
      <c r="E4" s="60">
        <v>38</v>
      </c>
      <c r="F4" s="67">
        <v>1235</v>
      </c>
      <c r="G4" s="60">
        <f t="shared" ref="G4:G19" si="0">F4*E4%</f>
        <v>469.3</v>
      </c>
      <c r="H4" s="60">
        <v>30</v>
      </c>
      <c r="I4" s="60">
        <f t="shared" ref="I4:I19" si="1">F4+G4+H4</f>
        <v>1734.3</v>
      </c>
      <c r="L4" s="63">
        <f t="shared" ref="L4:L19" si="2">F4</f>
        <v>1235</v>
      </c>
      <c r="N4" s="76">
        <f>L4+G4+H4</f>
        <v>1734.3</v>
      </c>
      <c r="Q4" s="60">
        <v>2008</v>
      </c>
      <c r="U4" s="59">
        <v>17436.32</v>
      </c>
    </row>
    <row r="5" spans="1:21" s="59" customFormat="1" ht="38.25" customHeight="1" x14ac:dyDescent="0.3">
      <c r="A5" s="60" t="s">
        <v>65</v>
      </c>
      <c r="B5" s="66" t="s">
        <v>94</v>
      </c>
      <c r="C5" s="66" t="s">
        <v>106</v>
      </c>
      <c r="D5" s="60">
        <v>13</v>
      </c>
      <c r="E5" s="60">
        <v>13</v>
      </c>
      <c r="F5" s="67">
        <v>1208</v>
      </c>
      <c r="G5" s="60">
        <f t="shared" si="0"/>
        <v>157.04</v>
      </c>
      <c r="H5" s="60">
        <v>25</v>
      </c>
      <c r="I5" s="60">
        <f t="shared" si="1"/>
        <v>1390.04</v>
      </c>
      <c r="L5" s="63">
        <f t="shared" si="2"/>
        <v>1208</v>
      </c>
      <c r="N5" s="76">
        <f t="shared" ref="N5:N19" si="3">L5+G5+H5</f>
        <v>1390.04</v>
      </c>
      <c r="Q5" s="60">
        <v>1958</v>
      </c>
      <c r="U5" s="59">
        <v>5312.49</v>
      </c>
    </row>
    <row r="6" spans="1:21" s="59" customFormat="1" ht="37.5" x14ac:dyDescent="0.3">
      <c r="A6" s="60" t="s">
        <v>66</v>
      </c>
      <c r="B6" s="66" t="s">
        <v>94</v>
      </c>
      <c r="C6" s="66" t="s">
        <v>106</v>
      </c>
      <c r="D6" s="60">
        <v>36</v>
      </c>
      <c r="E6" s="60">
        <v>36</v>
      </c>
      <c r="F6" s="67">
        <v>1208</v>
      </c>
      <c r="G6" s="60">
        <f t="shared" si="0"/>
        <v>434.88</v>
      </c>
      <c r="H6" s="60">
        <v>30</v>
      </c>
      <c r="I6" s="60">
        <f t="shared" si="1"/>
        <v>1672.88</v>
      </c>
      <c r="L6" s="63">
        <f t="shared" si="2"/>
        <v>1208</v>
      </c>
      <c r="N6" s="76">
        <f t="shared" si="3"/>
        <v>1672.88</v>
      </c>
      <c r="Q6" s="60">
        <v>1958</v>
      </c>
      <c r="U6" s="59">
        <v>1224.3900000000001</v>
      </c>
    </row>
    <row r="7" spans="1:21" s="59" customFormat="1" ht="37.5" x14ac:dyDescent="0.3">
      <c r="A7" s="60" t="s">
        <v>67</v>
      </c>
      <c r="B7" s="66" t="s">
        <v>94</v>
      </c>
      <c r="C7" s="60" t="s">
        <v>107</v>
      </c>
      <c r="D7" s="60">
        <v>28</v>
      </c>
      <c r="E7" s="60">
        <v>28</v>
      </c>
      <c r="F7" s="67">
        <v>1219</v>
      </c>
      <c r="G7" s="60">
        <f t="shared" si="0"/>
        <v>341.32000000000005</v>
      </c>
      <c r="H7" s="60">
        <v>30</v>
      </c>
      <c r="I7" s="60">
        <f t="shared" si="1"/>
        <v>1590.3200000000002</v>
      </c>
      <c r="L7" s="63">
        <f t="shared" si="2"/>
        <v>1219</v>
      </c>
      <c r="N7" s="76">
        <f t="shared" si="3"/>
        <v>1590.3200000000002</v>
      </c>
      <c r="Q7" s="60">
        <v>1958</v>
      </c>
      <c r="U7" s="59">
        <v>161.75</v>
      </c>
    </row>
    <row r="8" spans="1:21" s="59" customFormat="1" ht="37.5" x14ac:dyDescent="0.3">
      <c r="A8" s="60" t="s">
        <v>68</v>
      </c>
      <c r="B8" s="66" t="s">
        <v>95</v>
      </c>
      <c r="C8" s="60" t="s">
        <v>105</v>
      </c>
      <c r="D8" s="60">
        <v>36</v>
      </c>
      <c r="E8" s="60">
        <v>36</v>
      </c>
      <c r="F8" s="67">
        <v>1251</v>
      </c>
      <c r="G8" s="60">
        <f t="shared" si="0"/>
        <v>450.35999999999996</v>
      </c>
      <c r="H8" s="60">
        <v>30</v>
      </c>
      <c r="I8" s="60">
        <f t="shared" si="1"/>
        <v>1731.36</v>
      </c>
      <c r="L8" s="63">
        <f t="shared" si="2"/>
        <v>1251</v>
      </c>
      <c r="N8" s="76">
        <f t="shared" si="3"/>
        <v>1731.36</v>
      </c>
      <c r="Q8" s="60">
        <v>2044</v>
      </c>
      <c r="U8" s="59">
        <f>SUM(U4:U7)</f>
        <v>24134.949999999997</v>
      </c>
    </row>
    <row r="9" spans="1:21" s="59" customFormat="1" ht="37.5" x14ac:dyDescent="0.3">
      <c r="A9" s="60" t="s">
        <v>69</v>
      </c>
      <c r="B9" s="66" t="s">
        <v>96</v>
      </c>
      <c r="C9" s="60" t="s">
        <v>105</v>
      </c>
      <c r="D9" s="60">
        <v>31</v>
      </c>
      <c r="E9" s="60">
        <v>31</v>
      </c>
      <c r="F9" s="67">
        <v>1289</v>
      </c>
      <c r="G9" s="60">
        <f t="shared" si="0"/>
        <v>399.59</v>
      </c>
      <c r="H9" s="60">
        <v>30</v>
      </c>
      <c r="I9" s="60">
        <f t="shared" si="1"/>
        <v>1718.59</v>
      </c>
      <c r="L9" s="63">
        <f t="shared" si="2"/>
        <v>1289</v>
      </c>
      <c r="N9" s="76">
        <f t="shared" si="3"/>
        <v>1718.59</v>
      </c>
      <c r="Q9" s="60">
        <v>2094</v>
      </c>
    </row>
    <row r="10" spans="1:21" s="59" customFormat="1" ht="37.5" x14ac:dyDescent="0.3">
      <c r="A10" s="60" t="s">
        <v>70</v>
      </c>
      <c r="B10" s="66" t="s">
        <v>97</v>
      </c>
      <c r="C10" s="66" t="s">
        <v>106</v>
      </c>
      <c r="D10" s="60">
        <v>44</v>
      </c>
      <c r="E10" s="60">
        <v>44</v>
      </c>
      <c r="F10" s="67">
        <v>1208</v>
      </c>
      <c r="G10" s="60">
        <f t="shared" si="0"/>
        <v>531.52</v>
      </c>
      <c r="H10" s="60">
        <v>30</v>
      </c>
      <c r="I10" s="60">
        <f t="shared" si="1"/>
        <v>1769.52</v>
      </c>
      <c r="L10" s="63">
        <f t="shared" si="2"/>
        <v>1208</v>
      </c>
      <c r="N10" s="76">
        <f t="shared" si="3"/>
        <v>1769.52</v>
      </c>
      <c r="Q10" s="60">
        <v>1958</v>
      </c>
      <c r="U10" s="59">
        <v>137.66999999999999</v>
      </c>
    </row>
    <row r="11" spans="1:21" s="59" customFormat="1" ht="37.5" x14ac:dyDescent="0.3">
      <c r="A11" s="60" t="s">
        <v>71</v>
      </c>
      <c r="B11" s="66" t="s">
        <v>98</v>
      </c>
      <c r="C11" s="60" t="s">
        <v>107</v>
      </c>
      <c r="D11" s="60">
        <v>22</v>
      </c>
      <c r="E11" s="60">
        <v>22</v>
      </c>
      <c r="F11" s="67">
        <v>1208</v>
      </c>
      <c r="G11" s="60">
        <f t="shared" si="0"/>
        <v>265.76</v>
      </c>
      <c r="H11" s="60">
        <v>30</v>
      </c>
      <c r="I11" s="60">
        <f t="shared" si="1"/>
        <v>1503.76</v>
      </c>
      <c r="L11" s="63">
        <f t="shared" si="2"/>
        <v>1208</v>
      </c>
      <c r="N11" s="76">
        <f t="shared" si="3"/>
        <v>1503.76</v>
      </c>
      <c r="Q11" s="60">
        <v>1958</v>
      </c>
    </row>
    <row r="12" spans="1:21" s="59" customFormat="1" ht="37.5" x14ac:dyDescent="0.3">
      <c r="A12" s="60" t="s">
        <v>76</v>
      </c>
      <c r="B12" s="66" t="s">
        <v>99</v>
      </c>
      <c r="C12" s="60" t="s">
        <v>105</v>
      </c>
      <c r="D12" s="60">
        <v>41</v>
      </c>
      <c r="E12" s="60">
        <v>41</v>
      </c>
      <c r="F12" s="67">
        <v>1219</v>
      </c>
      <c r="G12" s="60">
        <f t="shared" si="0"/>
        <v>499.78999999999996</v>
      </c>
      <c r="H12" s="60">
        <v>30</v>
      </c>
      <c r="I12" s="60">
        <f t="shared" si="1"/>
        <v>1748.79</v>
      </c>
      <c r="L12" s="63">
        <f t="shared" si="2"/>
        <v>1219</v>
      </c>
      <c r="N12" s="76">
        <f t="shared" si="3"/>
        <v>1748.79</v>
      </c>
      <c r="Q12" s="60">
        <v>1958</v>
      </c>
    </row>
    <row r="13" spans="1:21" s="59" customFormat="1" ht="37.5" x14ac:dyDescent="0.3">
      <c r="A13" s="60" t="s">
        <v>77</v>
      </c>
      <c r="B13" s="66" t="s">
        <v>99</v>
      </c>
      <c r="C13" s="60" t="s">
        <v>105</v>
      </c>
      <c r="D13" s="60">
        <v>46</v>
      </c>
      <c r="E13" s="60">
        <v>46</v>
      </c>
      <c r="F13" s="67">
        <v>1197</v>
      </c>
      <c r="G13" s="60">
        <f t="shared" si="0"/>
        <v>550.62</v>
      </c>
      <c r="H13" s="60">
        <v>25</v>
      </c>
      <c r="I13" s="60">
        <f t="shared" si="1"/>
        <v>1772.62</v>
      </c>
      <c r="L13" s="63">
        <f t="shared" si="2"/>
        <v>1197</v>
      </c>
      <c r="N13" s="76">
        <f t="shared" si="3"/>
        <v>1772.62</v>
      </c>
      <c r="Q13" s="60">
        <v>1958</v>
      </c>
    </row>
    <row r="14" spans="1:21" s="59" customFormat="1" ht="37.5" x14ac:dyDescent="0.3">
      <c r="A14" s="60" t="s">
        <v>78</v>
      </c>
      <c r="B14" s="66" t="s">
        <v>99</v>
      </c>
      <c r="C14" s="60" t="s">
        <v>105</v>
      </c>
      <c r="D14" s="60">
        <v>35</v>
      </c>
      <c r="E14" s="60">
        <v>35</v>
      </c>
      <c r="F14" s="67">
        <v>1208</v>
      </c>
      <c r="G14" s="60">
        <f t="shared" si="0"/>
        <v>422.79999999999995</v>
      </c>
      <c r="H14" s="60">
        <v>40</v>
      </c>
      <c r="I14" s="60">
        <f t="shared" si="1"/>
        <v>1670.8</v>
      </c>
      <c r="L14" s="63">
        <f t="shared" si="2"/>
        <v>1208</v>
      </c>
      <c r="N14" s="76">
        <f>L14+G14+H14</f>
        <v>1670.8</v>
      </c>
      <c r="Q14" s="60">
        <v>1958</v>
      </c>
    </row>
    <row r="15" spans="1:21" s="59" customFormat="1" ht="56.25" x14ac:dyDescent="0.3">
      <c r="A15" s="60" t="s">
        <v>79</v>
      </c>
      <c r="B15" s="66" t="s">
        <v>100</v>
      </c>
      <c r="C15" s="66" t="s">
        <v>106</v>
      </c>
      <c r="D15" s="60">
        <v>29</v>
      </c>
      <c r="E15" s="60">
        <v>19</v>
      </c>
      <c r="F15" s="67">
        <v>1144</v>
      </c>
      <c r="G15" s="60">
        <f t="shared" si="0"/>
        <v>217.36</v>
      </c>
      <c r="H15" s="60">
        <v>30</v>
      </c>
      <c r="I15" s="60">
        <f t="shared" si="1"/>
        <v>1391.3600000000001</v>
      </c>
      <c r="L15" s="63">
        <f t="shared" si="2"/>
        <v>1144</v>
      </c>
      <c r="N15" s="76">
        <f t="shared" si="3"/>
        <v>1391.3600000000001</v>
      </c>
      <c r="Q15" s="60">
        <v>1857</v>
      </c>
    </row>
    <row r="16" spans="1:21" s="59" customFormat="1" ht="30.75" customHeight="1" x14ac:dyDescent="0.3">
      <c r="A16" s="60" t="s">
        <v>80</v>
      </c>
      <c r="B16" s="60" t="s">
        <v>101</v>
      </c>
      <c r="C16" s="60" t="s">
        <v>105</v>
      </c>
      <c r="D16" s="60">
        <v>0</v>
      </c>
      <c r="E16" s="60">
        <v>0</v>
      </c>
      <c r="F16" s="67">
        <v>592</v>
      </c>
      <c r="G16" s="60">
        <f t="shared" si="0"/>
        <v>0</v>
      </c>
      <c r="H16" s="60"/>
      <c r="I16" s="60">
        <f t="shared" si="1"/>
        <v>592</v>
      </c>
      <c r="L16" s="63">
        <f t="shared" si="2"/>
        <v>592</v>
      </c>
      <c r="N16" s="76">
        <f t="shared" si="3"/>
        <v>592</v>
      </c>
      <c r="Q16" s="61">
        <v>1100</v>
      </c>
    </row>
    <row r="17" spans="1:17" s="59" customFormat="1" ht="37.5" x14ac:dyDescent="0.3">
      <c r="A17" s="60" t="s">
        <v>81</v>
      </c>
      <c r="B17" s="66" t="s">
        <v>102</v>
      </c>
      <c r="C17" s="66" t="s">
        <v>108</v>
      </c>
      <c r="D17" s="60">
        <v>3</v>
      </c>
      <c r="E17" s="60">
        <v>3</v>
      </c>
      <c r="F17" s="67">
        <v>660</v>
      </c>
      <c r="G17" s="60">
        <f t="shared" si="0"/>
        <v>19.8</v>
      </c>
      <c r="H17" s="60"/>
      <c r="I17" s="60">
        <f t="shared" si="1"/>
        <v>679.8</v>
      </c>
      <c r="L17" s="63">
        <f t="shared" si="2"/>
        <v>660</v>
      </c>
      <c r="N17" s="76">
        <f t="shared" si="3"/>
        <v>679.8</v>
      </c>
      <c r="Q17" s="60">
        <v>1150</v>
      </c>
    </row>
    <row r="18" spans="1:17" s="59" customFormat="1" ht="29.25" customHeight="1" x14ac:dyDescent="0.3">
      <c r="A18" s="60" t="s">
        <v>82</v>
      </c>
      <c r="B18" s="60" t="s">
        <v>103</v>
      </c>
      <c r="C18" s="60" t="s">
        <v>104</v>
      </c>
      <c r="D18" s="60">
        <v>31</v>
      </c>
      <c r="E18" s="60">
        <v>31</v>
      </c>
      <c r="F18" s="67">
        <v>625</v>
      </c>
      <c r="G18" s="60">
        <f t="shared" si="0"/>
        <v>193.75</v>
      </c>
      <c r="H18" s="60"/>
      <c r="I18" s="60">
        <f t="shared" si="1"/>
        <v>818.75</v>
      </c>
      <c r="L18" s="63">
        <f t="shared" si="2"/>
        <v>625</v>
      </c>
      <c r="N18" s="76">
        <f t="shared" si="3"/>
        <v>818.75</v>
      </c>
      <c r="Q18" s="60">
        <v>1080</v>
      </c>
    </row>
    <row r="19" spans="1:17" s="59" customFormat="1" ht="30" customHeight="1" x14ac:dyDescent="0.3">
      <c r="A19" s="60" t="s">
        <v>83</v>
      </c>
      <c r="B19" s="60" t="s">
        <v>103</v>
      </c>
      <c r="C19" s="60" t="s">
        <v>104</v>
      </c>
      <c r="D19" s="60">
        <v>12</v>
      </c>
      <c r="E19" s="60">
        <v>12</v>
      </c>
      <c r="F19" s="67">
        <v>625</v>
      </c>
      <c r="G19" s="60">
        <f t="shared" si="0"/>
        <v>75</v>
      </c>
      <c r="H19" s="60"/>
      <c r="I19" s="60">
        <f t="shared" si="1"/>
        <v>700</v>
      </c>
      <c r="L19" s="63">
        <f t="shared" si="2"/>
        <v>625</v>
      </c>
      <c r="N19" s="76">
        <f t="shared" si="3"/>
        <v>700</v>
      </c>
      <c r="Q19" s="60">
        <v>1080</v>
      </c>
    </row>
    <row r="20" spans="1:17" s="59" customFormat="1" ht="18.75" x14ac:dyDescent="0.3">
      <c r="I20" s="62">
        <f>SUM(I3:I19)</f>
        <v>24878.051599999999</v>
      </c>
      <c r="N20" s="76">
        <f>SUM(N3:N19)</f>
        <v>24878.051599999999</v>
      </c>
    </row>
    <row r="21" spans="1:17" s="59" customFormat="1" ht="18.75" x14ac:dyDescent="0.3">
      <c r="N21" s="76"/>
    </row>
    <row r="22" spans="1:17" s="59" customFormat="1" ht="18.75" x14ac:dyDescent="0.3">
      <c r="E22" s="59" t="s">
        <v>129</v>
      </c>
      <c r="F22" s="59">
        <f>SUM(I4:I15)</f>
        <v>19694.34</v>
      </c>
      <c r="H22" s="76">
        <f>F22/13</f>
        <v>1514.9492307692308</v>
      </c>
      <c r="I22" s="59">
        <f>I20/17</f>
        <v>1463.4148</v>
      </c>
      <c r="N22" s="76">
        <f>N20*13</f>
        <v>323414.67079999996</v>
      </c>
    </row>
    <row r="23" spans="1:17" ht="18.75" x14ac:dyDescent="0.3">
      <c r="E23" s="59" t="s">
        <v>130</v>
      </c>
      <c r="F23" s="59">
        <f>SUM(I16:I19)</f>
        <v>2790.55</v>
      </c>
      <c r="G23" s="59"/>
      <c r="H23" s="76">
        <f>F23/4</f>
        <v>697.63750000000005</v>
      </c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7"/>
  <sheetViews>
    <sheetView topLeftCell="A19" zoomScaleNormal="100" workbookViewId="0">
      <selection activeCell="C45" sqref="C45"/>
    </sheetView>
  </sheetViews>
  <sheetFormatPr defaultRowHeight="15" x14ac:dyDescent="0.25"/>
  <cols>
    <col min="1" max="1" width="33.28515625" customWidth="1"/>
    <col min="2" max="2" width="13" customWidth="1"/>
    <col min="3" max="3" width="16.140625" customWidth="1"/>
    <col min="4" max="4" width="10.5703125" bestFit="1" customWidth="1"/>
    <col min="6" max="6" width="10.5703125" customWidth="1"/>
    <col min="9" max="9" width="14.85546875" customWidth="1"/>
  </cols>
  <sheetData>
    <row r="1" spans="1:6" ht="18.75" x14ac:dyDescent="0.3">
      <c r="A1" s="1" t="s">
        <v>59</v>
      </c>
      <c r="B1" s="1"/>
    </row>
    <row r="2" spans="1:6" ht="18.75" x14ac:dyDescent="0.3">
      <c r="A2" s="1" t="s">
        <v>52</v>
      </c>
      <c r="B2" s="1"/>
    </row>
    <row r="3" spans="1:6" ht="18.75" x14ac:dyDescent="0.3">
      <c r="B3" s="1"/>
      <c r="C3" s="1"/>
    </row>
    <row r="4" spans="1:6" ht="19.5" thickBot="1" x14ac:dyDescent="0.35">
      <c r="D4" s="1"/>
    </row>
    <row r="5" spans="1:6" ht="42.75" thickBot="1" x14ac:dyDescent="0.4">
      <c r="A5" s="88" t="s">
        <v>43</v>
      </c>
      <c r="B5" s="89"/>
      <c r="C5" s="8" t="s">
        <v>58</v>
      </c>
      <c r="D5" s="2"/>
      <c r="F5" s="51"/>
    </row>
    <row r="6" spans="1:6" ht="18" x14ac:dyDescent="0.25">
      <c r="A6" s="90" t="s">
        <v>0</v>
      </c>
      <c r="B6" s="11" t="s">
        <v>1</v>
      </c>
      <c r="C6" s="22">
        <v>590000</v>
      </c>
    </row>
    <row r="7" spans="1:6" ht="18.75" x14ac:dyDescent="0.3">
      <c r="A7" s="91"/>
      <c r="B7" s="3" t="s">
        <v>2</v>
      </c>
      <c r="C7" s="23">
        <f>SUM(C8:C11)</f>
        <v>28000</v>
      </c>
      <c r="D7" s="2"/>
    </row>
    <row r="8" spans="1:6" ht="18" x14ac:dyDescent="0.25">
      <c r="A8" s="7" t="s">
        <v>3</v>
      </c>
      <c r="B8" s="4" t="s">
        <v>4</v>
      </c>
      <c r="C8" s="24">
        <v>5000</v>
      </c>
    </row>
    <row r="9" spans="1:6" ht="18.75" x14ac:dyDescent="0.3">
      <c r="A9" s="7" t="s">
        <v>5</v>
      </c>
      <c r="B9" s="4" t="s">
        <v>6</v>
      </c>
      <c r="C9" s="24">
        <v>20000</v>
      </c>
      <c r="D9" s="2"/>
    </row>
    <row r="10" spans="1:6" ht="18.75" x14ac:dyDescent="0.3">
      <c r="A10" s="7" t="s">
        <v>7</v>
      </c>
      <c r="B10" s="4" t="s">
        <v>8</v>
      </c>
      <c r="C10" s="21"/>
      <c r="D10" s="2"/>
    </row>
    <row r="11" spans="1:6" ht="18.75" x14ac:dyDescent="0.3">
      <c r="A11" s="7" t="s">
        <v>9</v>
      </c>
      <c r="B11" s="4" t="s">
        <v>10</v>
      </c>
      <c r="C11" s="24">
        <v>3000</v>
      </c>
      <c r="D11" s="2"/>
    </row>
    <row r="12" spans="1:6" ht="18" x14ac:dyDescent="0.25">
      <c r="A12" s="7"/>
      <c r="B12" s="4"/>
      <c r="C12" s="24"/>
    </row>
    <row r="13" spans="1:6" ht="21" x14ac:dyDescent="0.35">
      <c r="A13" s="7" t="s">
        <v>11</v>
      </c>
      <c r="B13" s="3" t="s">
        <v>12</v>
      </c>
      <c r="C13" s="23">
        <f>SUM(C14:C17)</f>
        <v>144117.59999999998</v>
      </c>
      <c r="D13" s="5"/>
    </row>
    <row r="14" spans="1:6" ht="21" x14ac:dyDescent="0.35">
      <c r="A14" s="7" t="s">
        <v>13</v>
      </c>
      <c r="B14" s="4" t="s">
        <v>14</v>
      </c>
      <c r="C14" s="24">
        <f>(C6+C7)*11.42%</f>
        <v>70575.599999999991</v>
      </c>
      <c r="D14" s="5"/>
    </row>
    <row r="15" spans="1:6" ht="21" x14ac:dyDescent="0.35">
      <c r="A15" s="7" t="s">
        <v>15</v>
      </c>
      <c r="B15" s="4" t="s">
        <v>16</v>
      </c>
      <c r="C15" s="24">
        <f>(C6+C7)*4.3%</f>
        <v>26573.999999999996</v>
      </c>
      <c r="D15" s="6"/>
    </row>
    <row r="16" spans="1:6" ht="18" x14ac:dyDescent="0.25">
      <c r="A16" s="7" t="s">
        <v>17</v>
      </c>
      <c r="B16" s="4" t="s">
        <v>18</v>
      </c>
      <c r="C16" s="24">
        <f>(C6+C7)*4.8%</f>
        <v>29664</v>
      </c>
    </row>
    <row r="17" spans="1:3" ht="18" x14ac:dyDescent="0.25">
      <c r="A17" s="7" t="s">
        <v>19</v>
      </c>
      <c r="B17" s="4" t="s">
        <v>20</v>
      </c>
      <c r="C17" s="24">
        <f>(C6+C7)*2.8%</f>
        <v>17304</v>
      </c>
    </row>
    <row r="18" spans="1:3" ht="18" x14ac:dyDescent="0.25">
      <c r="A18" s="47"/>
      <c r="B18" s="4"/>
      <c r="C18" s="24"/>
    </row>
    <row r="19" spans="1:3" ht="18" x14ac:dyDescent="0.25">
      <c r="A19" s="48" t="s">
        <v>40</v>
      </c>
      <c r="B19" s="4" t="s">
        <v>29</v>
      </c>
      <c r="C19" s="24">
        <f>SUM(C20:C29)</f>
        <v>104638</v>
      </c>
    </row>
    <row r="20" spans="1:3" ht="18" x14ac:dyDescent="0.25">
      <c r="A20" s="43" t="s">
        <v>21</v>
      </c>
      <c r="B20" s="44" t="s">
        <v>22</v>
      </c>
      <c r="C20" s="45">
        <v>35000</v>
      </c>
    </row>
    <row r="21" spans="1:3" ht="18" x14ac:dyDescent="0.25">
      <c r="A21" s="43" t="s">
        <v>41</v>
      </c>
      <c r="B21" s="44" t="s">
        <v>30</v>
      </c>
      <c r="C21" s="45"/>
    </row>
    <row r="22" spans="1:3" ht="18" x14ac:dyDescent="0.25">
      <c r="A22" s="43" t="s">
        <v>42</v>
      </c>
      <c r="B22" s="44" t="s">
        <v>31</v>
      </c>
      <c r="C22" s="45">
        <v>1000</v>
      </c>
    </row>
    <row r="23" spans="1:3" ht="18" x14ac:dyDescent="0.25">
      <c r="A23" s="7" t="s">
        <v>23</v>
      </c>
      <c r="B23" s="12" t="s">
        <v>24</v>
      </c>
      <c r="C23" s="21"/>
    </row>
    <row r="24" spans="1:3" ht="18" x14ac:dyDescent="0.25">
      <c r="A24" s="7" t="s">
        <v>32</v>
      </c>
      <c r="B24" s="12" t="s">
        <v>33</v>
      </c>
      <c r="C24" s="24">
        <v>10000</v>
      </c>
    </row>
    <row r="25" spans="1:3" ht="18" x14ac:dyDescent="0.25">
      <c r="A25" s="7" t="s">
        <v>34</v>
      </c>
      <c r="B25" s="4" t="s">
        <v>35</v>
      </c>
      <c r="C25" s="24">
        <v>16638</v>
      </c>
    </row>
    <row r="26" spans="1:3" ht="18" x14ac:dyDescent="0.25">
      <c r="A26" s="42" t="s">
        <v>44</v>
      </c>
      <c r="B26" s="12" t="s">
        <v>25</v>
      </c>
      <c r="C26" s="24">
        <v>30000</v>
      </c>
    </row>
    <row r="27" spans="1:3" ht="18" x14ac:dyDescent="0.25">
      <c r="A27" s="42" t="s">
        <v>36</v>
      </c>
      <c r="B27" s="12" t="s">
        <v>37</v>
      </c>
      <c r="C27" s="24">
        <v>10000</v>
      </c>
    </row>
    <row r="28" spans="1:3" ht="18" x14ac:dyDescent="0.25">
      <c r="A28" s="42" t="s">
        <v>45</v>
      </c>
      <c r="B28" s="12" t="s">
        <v>38</v>
      </c>
      <c r="C28" s="24">
        <v>2000</v>
      </c>
    </row>
    <row r="29" spans="1:3" ht="18" x14ac:dyDescent="0.25">
      <c r="A29" s="42" t="s">
        <v>46</v>
      </c>
      <c r="B29" s="12" t="s">
        <v>49</v>
      </c>
      <c r="C29" s="24"/>
    </row>
    <row r="30" spans="1:3" ht="18" x14ac:dyDescent="0.25">
      <c r="A30" s="42" t="s">
        <v>47</v>
      </c>
      <c r="B30" s="12" t="s">
        <v>50</v>
      </c>
      <c r="C30" s="24">
        <v>300</v>
      </c>
    </row>
    <row r="31" spans="1:3" ht="18" x14ac:dyDescent="0.25">
      <c r="A31" s="7" t="s">
        <v>48</v>
      </c>
      <c r="B31" s="12" t="s">
        <v>51</v>
      </c>
      <c r="C31" s="24"/>
    </row>
    <row r="32" spans="1:3" ht="18" x14ac:dyDescent="0.25">
      <c r="A32" s="7" t="s">
        <v>74</v>
      </c>
      <c r="B32" s="12" t="s">
        <v>72</v>
      </c>
      <c r="C32" s="24">
        <v>1200</v>
      </c>
    </row>
    <row r="33" spans="1:4" ht="18" x14ac:dyDescent="0.25">
      <c r="A33" s="7" t="s">
        <v>75</v>
      </c>
      <c r="B33" s="12" t="s">
        <v>73</v>
      </c>
      <c r="C33" s="24">
        <v>3000</v>
      </c>
    </row>
    <row r="34" spans="1:4" ht="18" x14ac:dyDescent="0.25">
      <c r="A34" s="13" t="s">
        <v>26</v>
      </c>
      <c r="B34" s="12" t="s">
        <v>27</v>
      </c>
      <c r="C34" s="25">
        <v>15985</v>
      </c>
    </row>
    <row r="35" spans="1:4" ht="18" x14ac:dyDescent="0.25">
      <c r="C35" s="24"/>
    </row>
    <row r="36" spans="1:4" ht="18" x14ac:dyDescent="0.25">
      <c r="B36" t="s">
        <v>28</v>
      </c>
      <c r="C36" s="50">
        <f>C6+C7+C13+C19+C30+C31+C32+C33</f>
        <v>871255.6</v>
      </c>
    </row>
    <row r="37" spans="1:4" ht="18" x14ac:dyDescent="0.25">
      <c r="C37" s="50"/>
    </row>
    <row r="38" spans="1:4" ht="18.75" x14ac:dyDescent="0.3">
      <c r="A38" s="1" t="s">
        <v>53</v>
      </c>
    </row>
    <row r="39" spans="1:4" ht="18" customHeight="1" x14ac:dyDescent="0.25">
      <c r="B39" s="87" t="s">
        <v>113</v>
      </c>
      <c r="C39" s="87"/>
      <c r="D39" s="87"/>
    </row>
    <row r="40" spans="1:4" s="28" customFormat="1" x14ac:dyDescent="0.25">
      <c r="A40" s="68" t="s">
        <v>111</v>
      </c>
      <c r="B40" s="86" t="s">
        <v>109</v>
      </c>
      <c r="C40" s="86"/>
      <c r="D40" s="70">
        <v>17576.099999999999</v>
      </c>
    </row>
    <row r="41" spans="1:4" s="28" customFormat="1" x14ac:dyDescent="0.25">
      <c r="A41" s="69" t="s">
        <v>112</v>
      </c>
      <c r="B41" s="86" t="s">
        <v>114</v>
      </c>
      <c r="C41" s="86"/>
      <c r="D41" s="70">
        <v>186.51</v>
      </c>
    </row>
    <row r="42" spans="1:4" s="28" customFormat="1" x14ac:dyDescent="0.25">
      <c r="B42" s="86" t="s">
        <v>110</v>
      </c>
      <c r="C42" s="86"/>
      <c r="D42" s="70">
        <v>3.2</v>
      </c>
    </row>
    <row r="43" spans="1:4" s="28" customFormat="1" ht="18" x14ac:dyDescent="0.25">
      <c r="B43" s="27"/>
      <c r="C43" s="36"/>
    </row>
    <row r="44" spans="1:4" s="28" customFormat="1" ht="18" x14ac:dyDescent="0.25">
      <c r="B44" s="27"/>
      <c r="C44" s="36"/>
    </row>
    <row r="45" spans="1:4" s="28" customFormat="1" ht="18" x14ac:dyDescent="0.25">
      <c r="B45" s="26">
        <f>810494-40437.95+101200</f>
        <v>871256.05</v>
      </c>
      <c r="C45" s="36"/>
    </row>
    <row r="46" spans="1:4" s="28" customFormat="1" ht="18" x14ac:dyDescent="0.25">
      <c r="B46" s="27"/>
      <c r="C46" s="36"/>
    </row>
    <row r="47" spans="1:4" s="28" customFormat="1" ht="18" x14ac:dyDescent="0.25">
      <c r="B47" s="27"/>
      <c r="C47" s="36"/>
    </row>
    <row r="48" spans="1:4" s="28" customFormat="1" ht="18" x14ac:dyDescent="0.25">
      <c r="B48" s="27"/>
      <c r="C48" s="36"/>
    </row>
    <row r="49" spans="1:3" s="28" customFormat="1" ht="18" x14ac:dyDescent="0.25">
      <c r="B49" s="27"/>
      <c r="C49" s="36"/>
    </row>
    <row r="50" spans="1:3" s="28" customFormat="1" ht="18" x14ac:dyDescent="0.25">
      <c r="B50" s="27"/>
      <c r="C50" s="36"/>
    </row>
    <row r="51" spans="1:3" s="28" customFormat="1" ht="18" x14ac:dyDescent="0.25">
      <c r="B51" s="27"/>
      <c r="C51" s="36"/>
    </row>
    <row r="52" spans="1:3" s="28" customFormat="1" ht="18" x14ac:dyDescent="0.25">
      <c r="B52" s="27"/>
      <c r="C52" s="36"/>
    </row>
    <row r="53" spans="1:3" s="28" customFormat="1" ht="18" x14ac:dyDescent="0.25">
      <c r="B53" s="27"/>
      <c r="C53" s="36"/>
    </row>
    <row r="54" spans="1:3" s="28" customFormat="1" ht="18" x14ac:dyDescent="0.25">
      <c r="B54" s="27"/>
      <c r="C54" s="36"/>
    </row>
    <row r="55" spans="1:3" s="28" customFormat="1" ht="18" x14ac:dyDescent="0.25">
      <c r="C55" s="33"/>
    </row>
    <row r="56" spans="1:3" s="28" customFormat="1" ht="18" x14ac:dyDescent="0.25">
      <c r="C56" s="35"/>
    </row>
    <row r="57" spans="1:3" s="28" customFormat="1" ht="18" x14ac:dyDescent="0.25">
      <c r="C57" s="35"/>
    </row>
    <row r="58" spans="1:3" s="28" customFormat="1" ht="18" x14ac:dyDescent="0.25">
      <c r="A58" s="39"/>
      <c r="C58" s="40"/>
    </row>
    <row r="59" spans="1:3" s="28" customFormat="1" x14ac:dyDescent="0.25">
      <c r="C59" s="41"/>
    </row>
    <row r="60" spans="1:3" s="28" customFormat="1" ht="18" x14ac:dyDescent="0.25">
      <c r="A60" s="38"/>
      <c r="B60" s="27"/>
      <c r="C60" s="27"/>
    </row>
    <row r="61" spans="1:3" s="28" customFormat="1" ht="18" x14ac:dyDescent="0.25">
      <c r="B61" s="27"/>
      <c r="C61" s="27"/>
    </row>
    <row r="62" spans="1:3" s="28" customFormat="1" ht="18" x14ac:dyDescent="0.25">
      <c r="B62" s="27"/>
      <c r="C62" s="27"/>
    </row>
    <row r="63" spans="1:3" s="28" customFormat="1" ht="18" x14ac:dyDescent="0.25">
      <c r="A63" s="38"/>
      <c r="B63" s="27"/>
      <c r="C63" s="27"/>
    </row>
    <row r="64" spans="1:3" s="28" customFormat="1" ht="18" x14ac:dyDescent="0.25">
      <c r="A64" s="38"/>
      <c r="B64" s="27"/>
      <c r="C64" s="27"/>
    </row>
    <row r="65" spans="1:3" s="28" customFormat="1" ht="18" x14ac:dyDescent="0.25">
      <c r="A65" s="38"/>
      <c r="B65" s="27"/>
      <c r="C65" s="27"/>
    </row>
    <row r="66" spans="1:3" s="28" customFormat="1" ht="18" x14ac:dyDescent="0.25">
      <c r="A66" s="38"/>
      <c r="B66" s="27"/>
      <c r="C66" s="27"/>
    </row>
    <row r="67" spans="1:3" s="28" customFormat="1" x14ac:dyDescent="0.25"/>
  </sheetData>
  <mergeCells count="6">
    <mergeCell ref="B42:C42"/>
    <mergeCell ref="B39:D39"/>
    <mergeCell ref="A5:B5"/>
    <mergeCell ref="A6:A7"/>
    <mergeCell ref="B40:C40"/>
    <mergeCell ref="B41:C41"/>
  </mergeCells>
  <pageMargins left="1.1023622047244095" right="0.70866141732283472" top="0.74803149606299213" bottom="0.74803149606299213" header="0.31496062992125984" footer="0.31496062992125984"/>
  <pageSetup paperSize="9" scale="9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zoomScale="80" zoomScaleNormal="80" workbookViewId="0">
      <selection activeCell="J35" sqref="J35"/>
    </sheetView>
  </sheetViews>
  <sheetFormatPr defaultRowHeight="15" x14ac:dyDescent="0.25"/>
  <cols>
    <col min="1" max="1" width="27.5703125" customWidth="1"/>
    <col min="2" max="2" width="11.5703125" customWidth="1"/>
    <col min="3" max="3" width="13.140625" customWidth="1"/>
    <col min="4" max="4" width="14.42578125" customWidth="1"/>
    <col min="5" max="5" width="15" customWidth="1"/>
    <col min="6" max="6" width="16" customWidth="1"/>
    <col min="7" max="7" width="7.7109375" customWidth="1"/>
    <col min="8" max="8" width="28.85546875" customWidth="1"/>
    <col min="9" max="9" width="11.42578125" customWidth="1"/>
    <col min="10" max="10" width="14.28515625" customWidth="1"/>
    <col min="11" max="11" width="15" customWidth="1"/>
    <col min="12" max="12" width="14.5703125" customWidth="1"/>
    <col min="14" max="14" width="28.85546875" customWidth="1"/>
    <col min="15" max="15" width="11.42578125" customWidth="1"/>
    <col min="16" max="16" width="16.28515625" customWidth="1"/>
    <col min="17" max="17" width="15" customWidth="1"/>
    <col min="18" max="18" width="14.5703125" customWidth="1"/>
  </cols>
  <sheetData>
    <row r="1" spans="1:18" ht="18.75" x14ac:dyDescent="0.3">
      <c r="B1" s="1" t="s">
        <v>157</v>
      </c>
      <c r="C1" s="1"/>
      <c r="D1" s="1"/>
      <c r="E1" s="1"/>
      <c r="I1" s="1" t="s">
        <v>158</v>
      </c>
      <c r="K1" s="1"/>
      <c r="O1" s="1" t="s">
        <v>119</v>
      </c>
      <c r="Q1" s="1"/>
    </row>
    <row r="2" spans="1:18" ht="18.75" x14ac:dyDescent="0.3">
      <c r="B2" s="1" t="s">
        <v>52</v>
      </c>
      <c r="C2" s="1"/>
      <c r="D2" s="1"/>
      <c r="E2" s="1"/>
      <c r="I2" s="1" t="s">
        <v>52</v>
      </c>
      <c r="K2" s="1"/>
      <c r="O2" s="1" t="s">
        <v>52</v>
      </c>
      <c r="Q2" s="1"/>
    </row>
    <row r="3" spans="1:18" ht="18.75" x14ac:dyDescent="0.3">
      <c r="B3" s="1"/>
      <c r="C3" s="1"/>
      <c r="D3" s="1"/>
      <c r="E3" s="1"/>
      <c r="I3" s="1"/>
      <c r="J3" s="1"/>
      <c r="K3" s="1"/>
      <c r="O3" s="1"/>
      <c r="P3" s="1"/>
      <c r="Q3" s="1"/>
    </row>
    <row r="4" spans="1:18" ht="19.5" thickBot="1" x14ac:dyDescent="0.35">
      <c r="F4" s="1"/>
      <c r="L4" s="1"/>
      <c r="R4" s="1"/>
    </row>
    <row r="5" spans="1:18" ht="63.75" thickBot="1" x14ac:dyDescent="0.4">
      <c r="A5" s="88" t="s">
        <v>62</v>
      </c>
      <c r="B5" s="89"/>
      <c r="C5" s="8" t="s">
        <v>153</v>
      </c>
      <c r="D5" s="8" t="s">
        <v>154</v>
      </c>
      <c r="E5" s="58" t="s">
        <v>155</v>
      </c>
      <c r="F5" s="10" t="s">
        <v>39</v>
      </c>
      <c r="H5" s="88" t="s">
        <v>43</v>
      </c>
      <c r="I5" s="89"/>
      <c r="J5" s="8" t="s">
        <v>156</v>
      </c>
      <c r="K5" s="58" t="s">
        <v>155</v>
      </c>
      <c r="L5" s="10" t="s">
        <v>39</v>
      </c>
      <c r="N5" s="88" t="s">
        <v>43</v>
      </c>
      <c r="O5" s="89"/>
      <c r="P5" s="8" t="s">
        <v>117</v>
      </c>
      <c r="Q5" s="58" t="s">
        <v>155</v>
      </c>
      <c r="R5" s="10" t="s">
        <v>39</v>
      </c>
    </row>
    <row r="6" spans="1:18" ht="18.75" x14ac:dyDescent="0.3">
      <c r="A6" s="90" t="s">
        <v>0</v>
      </c>
      <c r="B6" s="11" t="s">
        <v>1</v>
      </c>
      <c r="C6" s="22"/>
      <c r="D6" s="22"/>
      <c r="E6" s="18"/>
      <c r="F6" s="14">
        <f>D6-E6</f>
        <v>0</v>
      </c>
      <c r="H6" s="90" t="s">
        <v>0</v>
      </c>
      <c r="I6" s="11" t="s">
        <v>1</v>
      </c>
      <c r="J6" s="22"/>
      <c r="K6" s="18"/>
      <c r="L6" s="14">
        <f>J6-K6</f>
        <v>0</v>
      </c>
      <c r="N6" s="90" t="s">
        <v>0</v>
      </c>
      <c r="O6" s="11" t="s">
        <v>1</v>
      </c>
      <c r="P6" s="22"/>
      <c r="Q6" s="18"/>
      <c r="R6" s="14">
        <f>P6-Q6</f>
        <v>0</v>
      </c>
    </row>
    <row r="7" spans="1:18" ht="18.75" x14ac:dyDescent="0.3">
      <c r="A7" s="91"/>
      <c r="B7" s="3" t="s">
        <v>2</v>
      </c>
      <c r="C7" s="23"/>
      <c r="D7" s="22"/>
      <c r="E7" s="17"/>
      <c r="F7" s="15">
        <f t="shared" ref="F7:F35" si="0">D7-E7</f>
        <v>0</v>
      </c>
      <c r="H7" s="91"/>
      <c r="I7" s="3" t="s">
        <v>2</v>
      </c>
      <c r="J7" s="23"/>
      <c r="K7" s="17"/>
      <c r="L7" s="15">
        <f t="shared" ref="L7:L11" si="1">J7-K7</f>
        <v>0</v>
      </c>
      <c r="N7" s="91"/>
      <c r="O7" s="3" t="s">
        <v>2</v>
      </c>
      <c r="P7" s="23"/>
      <c r="Q7" s="17"/>
      <c r="R7" s="15">
        <f t="shared" ref="R7:R11" si="2">P7-Q7</f>
        <v>0</v>
      </c>
    </row>
    <row r="8" spans="1:18" ht="18.75" x14ac:dyDescent="0.3">
      <c r="A8" s="7" t="s">
        <v>3</v>
      </c>
      <c r="B8" s="4" t="s">
        <v>4</v>
      </c>
      <c r="C8" s="24"/>
      <c r="D8" s="22"/>
      <c r="E8" s="19"/>
      <c r="F8" s="16">
        <f t="shared" si="0"/>
        <v>0</v>
      </c>
      <c r="H8" s="7" t="s">
        <v>3</v>
      </c>
      <c r="I8" s="4" t="s">
        <v>4</v>
      </c>
      <c r="J8" s="24"/>
      <c r="K8" s="19"/>
      <c r="L8" s="16">
        <f t="shared" si="1"/>
        <v>0</v>
      </c>
      <c r="N8" s="7" t="s">
        <v>3</v>
      </c>
      <c r="O8" s="4" t="s">
        <v>4</v>
      </c>
      <c r="P8" s="24"/>
      <c r="Q8" s="19"/>
      <c r="R8" s="16">
        <f t="shared" si="2"/>
        <v>0</v>
      </c>
    </row>
    <row r="9" spans="1:18" ht="18.75" x14ac:dyDescent="0.3">
      <c r="A9" s="7" t="s">
        <v>5</v>
      </c>
      <c r="B9" s="4" t="s">
        <v>6</v>
      </c>
      <c r="C9" s="24"/>
      <c r="D9" s="22"/>
      <c r="E9" s="19"/>
      <c r="F9" s="16">
        <f t="shared" si="0"/>
        <v>0</v>
      </c>
      <c r="H9" s="7" t="s">
        <v>5</v>
      </c>
      <c r="I9" s="4" t="s">
        <v>6</v>
      </c>
      <c r="J9" s="24"/>
      <c r="K9" s="19"/>
      <c r="L9" s="16">
        <f t="shared" si="1"/>
        <v>0</v>
      </c>
      <c r="N9" s="7" t="s">
        <v>5</v>
      </c>
      <c r="O9" s="4" t="s">
        <v>6</v>
      </c>
      <c r="P9" s="24"/>
      <c r="Q9" s="19"/>
      <c r="R9" s="16">
        <f t="shared" si="2"/>
        <v>0</v>
      </c>
    </row>
    <row r="10" spans="1:18" ht="18.75" x14ac:dyDescent="0.3">
      <c r="A10" s="7" t="s">
        <v>7</v>
      </c>
      <c r="B10" s="4" t="s">
        <v>8</v>
      </c>
      <c r="C10" s="21"/>
      <c r="D10" s="22"/>
      <c r="E10" s="19"/>
      <c r="F10" s="16">
        <f t="shared" si="0"/>
        <v>0</v>
      </c>
      <c r="H10" s="7" t="s">
        <v>7</v>
      </c>
      <c r="I10" s="4" t="s">
        <v>8</v>
      </c>
      <c r="J10" s="21"/>
      <c r="K10" s="19"/>
      <c r="L10" s="16">
        <f t="shared" si="1"/>
        <v>0</v>
      </c>
      <c r="N10" s="7" t="s">
        <v>7</v>
      </c>
      <c r="O10" s="4" t="s">
        <v>8</v>
      </c>
      <c r="P10" s="21"/>
      <c r="Q10" s="19"/>
      <c r="R10" s="16">
        <f t="shared" si="2"/>
        <v>0</v>
      </c>
    </row>
    <row r="11" spans="1:18" ht="18.75" x14ac:dyDescent="0.3">
      <c r="A11" s="7" t="s">
        <v>9</v>
      </c>
      <c r="B11" s="4" t="s">
        <v>10</v>
      </c>
      <c r="C11" s="24"/>
      <c r="D11" s="22"/>
      <c r="E11" s="19"/>
      <c r="F11" s="16">
        <f t="shared" si="0"/>
        <v>0</v>
      </c>
      <c r="H11" s="7" t="s">
        <v>9</v>
      </c>
      <c r="I11" s="4" t="s">
        <v>10</v>
      </c>
      <c r="J11" s="24"/>
      <c r="K11" s="19"/>
      <c r="L11" s="16">
        <f t="shared" si="1"/>
        <v>0</v>
      </c>
      <c r="N11" s="7" t="s">
        <v>9</v>
      </c>
      <c r="O11" s="4" t="s">
        <v>10</v>
      </c>
      <c r="P11" s="24"/>
      <c r="Q11" s="19"/>
      <c r="R11" s="16">
        <f t="shared" si="2"/>
        <v>0</v>
      </c>
    </row>
    <row r="12" spans="1:18" ht="18.75" x14ac:dyDescent="0.3">
      <c r="A12" s="7"/>
      <c r="B12" s="4"/>
      <c r="C12" s="24"/>
      <c r="D12" s="22"/>
      <c r="E12" s="19"/>
      <c r="F12" s="16"/>
      <c r="H12" s="7"/>
      <c r="I12" s="4"/>
      <c r="J12" s="24"/>
      <c r="K12" s="19"/>
      <c r="L12" s="16"/>
      <c r="N12" s="7"/>
      <c r="O12" s="4"/>
      <c r="P12" s="24"/>
      <c r="Q12" s="19"/>
      <c r="R12" s="16"/>
    </row>
    <row r="13" spans="1:18" ht="18.75" x14ac:dyDescent="0.3">
      <c r="A13" s="7" t="s">
        <v>11</v>
      </c>
      <c r="B13" s="3" t="s">
        <v>12</v>
      </c>
      <c r="C13" s="23"/>
      <c r="D13" s="22"/>
      <c r="E13" s="23"/>
      <c r="F13" s="15">
        <f>D13-E13</f>
        <v>0</v>
      </c>
      <c r="H13" s="7" t="s">
        <v>11</v>
      </c>
      <c r="I13" s="3" t="s">
        <v>12</v>
      </c>
      <c r="J13" s="23"/>
      <c r="K13" s="23"/>
      <c r="L13" s="15">
        <f>J13-K13</f>
        <v>0</v>
      </c>
      <c r="N13" s="7" t="s">
        <v>11</v>
      </c>
      <c r="O13" s="3" t="s">
        <v>12</v>
      </c>
      <c r="P13" s="23"/>
      <c r="Q13" s="23"/>
      <c r="R13" s="15">
        <f>P13-Q13</f>
        <v>0</v>
      </c>
    </row>
    <row r="14" spans="1:18" ht="18.75" x14ac:dyDescent="0.3">
      <c r="A14" s="7" t="s">
        <v>13</v>
      </c>
      <c r="B14" s="4" t="s">
        <v>14</v>
      </c>
      <c r="C14" s="24"/>
      <c r="D14" s="22"/>
      <c r="E14" s="19"/>
      <c r="F14" s="16">
        <f>D14-E14</f>
        <v>0</v>
      </c>
      <c r="H14" s="7" t="s">
        <v>13</v>
      </c>
      <c r="I14" s="4" t="s">
        <v>14</v>
      </c>
      <c r="J14" s="24"/>
      <c r="K14" s="19"/>
      <c r="L14" s="16">
        <f>J14-K14</f>
        <v>0</v>
      </c>
      <c r="N14" s="7" t="s">
        <v>13</v>
      </c>
      <c r="O14" s="4" t="s">
        <v>14</v>
      </c>
      <c r="P14" s="24"/>
      <c r="Q14" s="19"/>
      <c r="R14" s="16">
        <f>P14-Q14</f>
        <v>0</v>
      </c>
    </row>
    <row r="15" spans="1:18" ht="18.75" x14ac:dyDescent="0.3">
      <c r="A15" s="7" t="s">
        <v>15</v>
      </c>
      <c r="B15" s="4" t="s">
        <v>16</v>
      </c>
      <c r="C15" s="24"/>
      <c r="D15" s="22"/>
      <c r="E15" s="19"/>
      <c r="F15" s="16">
        <f>D15-E15</f>
        <v>0</v>
      </c>
      <c r="H15" s="7" t="s">
        <v>15</v>
      </c>
      <c r="I15" s="4" t="s">
        <v>16</v>
      </c>
      <c r="J15" s="24"/>
      <c r="K15" s="19"/>
      <c r="L15" s="16">
        <f>J15-K15</f>
        <v>0</v>
      </c>
      <c r="N15" s="7" t="s">
        <v>15</v>
      </c>
      <c r="O15" s="4" t="s">
        <v>16</v>
      </c>
      <c r="P15" s="24"/>
      <c r="Q15" s="19"/>
      <c r="R15" s="16">
        <f>P15-Q15</f>
        <v>0</v>
      </c>
    </row>
    <row r="16" spans="1:18" ht="18.75" x14ac:dyDescent="0.3">
      <c r="A16" s="7" t="s">
        <v>17</v>
      </c>
      <c r="B16" s="4" t="s">
        <v>18</v>
      </c>
      <c r="C16" s="24"/>
      <c r="D16" s="22"/>
      <c r="E16" s="19"/>
      <c r="F16" s="16">
        <f t="shared" ref="F16:F17" si="3">D16-E16</f>
        <v>0</v>
      </c>
      <c r="H16" s="7" t="s">
        <v>17</v>
      </c>
      <c r="I16" s="4" t="s">
        <v>18</v>
      </c>
      <c r="J16" s="24"/>
      <c r="K16" s="19"/>
      <c r="L16" s="16">
        <f t="shared" ref="L16:L17" si="4">J16-K16</f>
        <v>0</v>
      </c>
      <c r="N16" s="7" t="s">
        <v>17</v>
      </c>
      <c r="O16" s="4" t="s">
        <v>18</v>
      </c>
      <c r="P16" s="24"/>
      <c r="Q16" s="19"/>
      <c r="R16" s="16">
        <f t="shared" ref="R16:R17" si="5">P16-Q16</f>
        <v>0</v>
      </c>
    </row>
    <row r="17" spans="1:18" ht="18.75" x14ac:dyDescent="0.3">
      <c r="A17" s="7" t="s">
        <v>19</v>
      </c>
      <c r="B17" s="4" t="s">
        <v>20</v>
      </c>
      <c r="C17" s="24"/>
      <c r="D17" s="22"/>
      <c r="E17" s="19"/>
      <c r="F17" s="16">
        <f t="shared" si="3"/>
        <v>0</v>
      </c>
      <c r="H17" s="7" t="s">
        <v>19</v>
      </c>
      <c r="I17" s="4" t="s">
        <v>20</v>
      </c>
      <c r="J17" s="24"/>
      <c r="K17" s="19"/>
      <c r="L17" s="16">
        <f t="shared" si="4"/>
        <v>0</v>
      </c>
      <c r="N17" s="7" t="s">
        <v>19</v>
      </c>
      <c r="O17" s="4" t="s">
        <v>20</v>
      </c>
      <c r="P17" s="24"/>
      <c r="Q17" s="19"/>
      <c r="R17" s="16">
        <f t="shared" si="5"/>
        <v>0</v>
      </c>
    </row>
    <row r="18" spans="1:18" ht="18.75" x14ac:dyDescent="0.3">
      <c r="A18" s="47"/>
      <c r="B18" s="4"/>
      <c r="C18" s="24"/>
      <c r="D18" s="22"/>
      <c r="E18" s="19"/>
      <c r="F18" s="16"/>
      <c r="H18" s="47"/>
      <c r="I18" s="4"/>
      <c r="J18" s="24"/>
      <c r="K18" s="19"/>
      <c r="L18" s="16"/>
      <c r="N18" s="47"/>
      <c r="O18" s="4"/>
      <c r="P18" s="24"/>
      <c r="Q18" s="19"/>
      <c r="R18" s="16"/>
    </row>
    <row r="19" spans="1:18" ht="18.75" x14ac:dyDescent="0.3">
      <c r="A19" s="48" t="s">
        <v>40</v>
      </c>
      <c r="B19" s="4" t="s">
        <v>29</v>
      </c>
      <c r="C19" s="24"/>
      <c r="D19" s="22"/>
      <c r="E19" s="17">
        <f>E20+E21+E22+E23+E24+E25+E26+E27</f>
        <v>1048.99</v>
      </c>
      <c r="F19" s="15">
        <f t="shared" si="0"/>
        <v>-1048.99</v>
      </c>
      <c r="H19" s="48" t="s">
        <v>40</v>
      </c>
      <c r="I19" s="4" t="s">
        <v>29</v>
      </c>
      <c r="J19" s="24"/>
      <c r="K19" s="17">
        <f>K20+K21+K22+K23+K24+K25+K26+K27</f>
        <v>116.27</v>
      </c>
      <c r="L19" s="15">
        <f>J19-K19</f>
        <v>-116.27</v>
      </c>
      <c r="N19" s="48" t="s">
        <v>40</v>
      </c>
      <c r="O19" s="4" t="s">
        <v>29</v>
      </c>
      <c r="P19" s="24"/>
      <c r="Q19" s="17"/>
      <c r="R19" s="15">
        <f>P19-Q19</f>
        <v>0</v>
      </c>
    </row>
    <row r="20" spans="1:18" ht="18.75" x14ac:dyDescent="0.3">
      <c r="A20" s="43" t="s">
        <v>21</v>
      </c>
      <c r="B20" s="44" t="s">
        <v>22</v>
      </c>
      <c r="C20" s="45"/>
      <c r="D20" s="22"/>
      <c r="E20" s="49">
        <f>458.15</f>
        <v>458.15</v>
      </c>
      <c r="F20" s="16">
        <f t="shared" si="0"/>
        <v>-458.15</v>
      </c>
      <c r="H20" s="43" t="s">
        <v>21</v>
      </c>
      <c r="I20" s="44" t="s">
        <v>22</v>
      </c>
      <c r="J20" s="45"/>
      <c r="K20" s="49"/>
      <c r="L20" s="16">
        <f t="shared" ref="L20" si="6">J20-K20</f>
        <v>0</v>
      </c>
      <c r="N20" s="43" t="s">
        <v>21</v>
      </c>
      <c r="O20" s="44" t="s">
        <v>22</v>
      </c>
      <c r="P20" s="45"/>
      <c r="Q20" s="49"/>
      <c r="R20" s="16">
        <f t="shared" ref="R20" si="7">P20-Q20</f>
        <v>0</v>
      </c>
    </row>
    <row r="21" spans="1:18" ht="18.75" x14ac:dyDescent="0.3">
      <c r="A21" s="43" t="s">
        <v>41</v>
      </c>
      <c r="B21" s="44" t="s">
        <v>30</v>
      </c>
      <c r="C21" s="45"/>
      <c r="D21" s="22"/>
      <c r="E21" s="46"/>
      <c r="F21" s="15"/>
      <c r="H21" s="43" t="s">
        <v>41</v>
      </c>
      <c r="I21" s="44" t="s">
        <v>30</v>
      </c>
      <c r="J21" s="45"/>
      <c r="K21" s="46"/>
      <c r="L21" s="15"/>
      <c r="N21" s="43" t="s">
        <v>41</v>
      </c>
      <c r="O21" s="44" t="s">
        <v>30</v>
      </c>
      <c r="P21" s="45"/>
      <c r="Q21" s="46"/>
      <c r="R21" s="15"/>
    </row>
    <row r="22" spans="1:18" ht="18.75" x14ac:dyDescent="0.3">
      <c r="A22" s="43" t="s">
        <v>42</v>
      </c>
      <c r="B22" s="44" t="s">
        <v>31</v>
      </c>
      <c r="C22" s="45"/>
      <c r="D22" s="22"/>
      <c r="E22" s="49"/>
      <c r="F22" s="16">
        <f t="shared" si="0"/>
        <v>0</v>
      </c>
      <c r="H22" s="43" t="s">
        <v>42</v>
      </c>
      <c r="I22" s="44" t="s">
        <v>31</v>
      </c>
      <c r="J22" s="45"/>
      <c r="K22" s="49"/>
      <c r="L22" s="16">
        <f t="shared" ref="L22:L23" si="8">J22-K22</f>
        <v>0</v>
      </c>
      <c r="N22" s="43" t="s">
        <v>42</v>
      </c>
      <c r="O22" s="44" t="s">
        <v>31</v>
      </c>
      <c r="P22" s="45"/>
      <c r="Q22" s="49"/>
      <c r="R22" s="16">
        <f t="shared" ref="R22:R23" si="9">P22-Q22</f>
        <v>0</v>
      </c>
    </row>
    <row r="23" spans="1:18" ht="18.75" x14ac:dyDescent="0.3">
      <c r="A23" s="7" t="s">
        <v>23</v>
      </c>
      <c r="B23" s="12" t="s">
        <v>24</v>
      </c>
      <c r="C23" s="21"/>
      <c r="D23" s="22"/>
      <c r="E23" s="19"/>
      <c r="F23" s="16">
        <f t="shared" si="0"/>
        <v>0</v>
      </c>
      <c r="H23" s="7" t="s">
        <v>23</v>
      </c>
      <c r="I23" s="12" t="s">
        <v>24</v>
      </c>
      <c r="J23" s="21"/>
      <c r="K23" s="19"/>
      <c r="L23" s="16">
        <f t="shared" si="8"/>
        <v>0</v>
      </c>
      <c r="N23" s="7" t="s">
        <v>23</v>
      </c>
      <c r="O23" s="12" t="s">
        <v>24</v>
      </c>
      <c r="P23" s="21"/>
      <c r="Q23" s="19"/>
      <c r="R23" s="16">
        <f t="shared" si="9"/>
        <v>0</v>
      </c>
    </row>
    <row r="24" spans="1:18" ht="18.75" x14ac:dyDescent="0.3">
      <c r="A24" s="7" t="s">
        <v>32</v>
      </c>
      <c r="B24" s="12" t="s">
        <v>33</v>
      </c>
      <c r="C24" s="24"/>
      <c r="D24" s="22"/>
      <c r="E24" s="19">
        <f>127.87</f>
        <v>127.87</v>
      </c>
      <c r="F24" s="16">
        <f>D24-E24</f>
        <v>-127.87</v>
      </c>
      <c r="H24" s="7" t="s">
        <v>32</v>
      </c>
      <c r="I24" s="12" t="s">
        <v>33</v>
      </c>
      <c r="J24" s="24"/>
      <c r="K24" s="19">
        <v>116.27</v>
      </c>
      <c r="L24" s="16">
        <f>J24-K24</f>
        <v>-116.27</v>
      </c>
      <c r="N24" s="7" t="s">
        <v>32</v>
      </c>
      <c r="O24" s="12" t="s">
        <v>33</v>
      </c>
      <c r="P24" s="57">
        <f>20466.24+57835.48</f>
        <v>78301.72</v>
      </c>
      <c r="Q24" s="19">
        <f>75239.19+3618.25-555.72</f>
        <v>78301.72</v>
      </c>
      <c r="R24" s="16">
        <f>P24-Q24</f>
        <v>0</v>
      </c>
    </row>
    <row r="25" spans="1:18" ht="18.75" x14ac:dyDescent="0.3">
      <c r="A25" s="7" t="s">
        <v>34</v>
      </c>
      <c r="B25" s="4" t="s">
        <v>35</v>
      </c>
      <c r="C25" s="24"/>
      <c r="D25" s="22"/>
      <c r="E25" s="19">
        <f>124.86</f>
        <v>124.86</v>
      </c>
      <c r="F25" s="16">
        <f>D25-E25</f>
        <v>-124.86</v>
      </c>
      <c r="H25" s="7" t="s">
        <v>34</v>
      </c>
      <c r="I25" s="4" t="s">
        <v>35</v>
      </c>
      <c r="J25" s="24"/>
      <c r="K25" s="19"/>
      <c r="L25" s="16">
        <f>J25-K25</f>
        <v>0</v>
      </c>
      <c r="N25" s="7" t="s">
        <v>34</v>
      </c>
      <c r="O25" s="4" t="s">
        <v>35</v>
      </c>
      <c r="P25" s="24"/>
      <c r="Q25" s="19"/>
      <c r="R25" s="16">
        <f>P25-Q25</f>
        <v>0</v>
      </c>
    </row>
    <row r="26" spans="1:18" ht="18.75" x14ac:dyDescent="0.3">
      <c r="A26" s="42" t="s">
        <v>44</v>
      </c>
      <c r="B26" s="12" t="s">
        <v>25</v>
      </c>
      <c r="C26" s="24"/>
      <c r="D26" s="22"/>
      <c r="E26" s="19">
        <f>338.11</f>
        <v>338.11</v>
      </c>
      <c r="F26" s="15">
        <f t="shared" si="0"/>
        <v>-338.11</v>
      </c>
      <c r="H26" s="42" t="s">
        <v>44</v>
      </c>
      <c r="I26" s="12" t="s">
        <v>25</v>
      </c>
      <c r="J26" s="24"/>
      <c r="K26" s="19"/>
      <c r="L26" s="15">
        <f t="shared" ref="L26:L28" si="10">J26-K26</f>
        <v>0</v>
      </c>
      <c r="N26" s="42" t="s">
        <v>44</v>
      </c>
      <c r="O26" s="12" t="s">
        <v>25</v>
      </c>
      <c r="P26" s="24"/>
      <c r="Q26" s="19"/>
      <c r="R26" s="15">
        <f t="shared" ref="R26:R33" si="11">P26-Q26</f>
        <v>0</v>
      </c>
    </row>
    <row r="27" spans="1:18" ht="18.75" x14ac:dyDescent="0.3">
      <c r="A27" s="42" t="s">
        <v>36</v>
      </c>
      <c r="B27" s="12" t="s">
        <v>37</v>
      </c>
      <c r="C27" s="24"/>
      <c r="D27" s="22"/>
      <c r="E27" s="19"/>
      <c r="F27" s="16">
        <f t="shared" si="0"/>
        <v>0</v>
      </c>
      <c r="H27" s="42" t="s">
        <v>36</v>
      </c>
      <c r="I27" s="12" t="s">
        <v>37</v>
      </c>
      <c r="J27" s="24"/>
      <c r="K27" s="19"/>
      <c r="L27" s="16">
        <f t="shared" si="10"/>
        <v>0</v>
      </c>
      <c r="N27" s="42" t="s">
        <v>36</v>
      </c>
      <c r="O27" s="12" t="s">
        <v>37</v>
      </c>
      <c r="P27" s="24"/>
      <c r="Q27" s="19"/>
      <c r="R27" s="16">
        <f t="shared" si="11"/>
        <v>0</v>
      </c>
    </row>
    <row r="28" spans="1:18" ht="18.75" x14ac:dyDescent="0.3">
      <c r="A28" s="42" t="s">
        <v>45</v>
      </c>
      <c r="B28" s="12" t="s">
        <v>38</v>
      </c>
      <c r="C28" s="24"/>
      <c r="D28" s="22"/>
      <c r="E28" s="19"/>
      <c r="F28" s="16">
        <f t="shared" si="0"/>
        <v>0</v>
      </c>
      <c r="H28" s="42" t="s">
        <v>45</v>
      </c>
      <c r="I28" s="12" t="s">
        <v>38</v>
      </c>
      <c r="J28" s="24"/>
      <c r="K28" s="19"/>
      <c r="L28" s="16">
        <f t="shared" si="10"/>
        <v>0</v>
      </c>
      <c r="N28" s="7" t="s">
        <v>74</v>
      </c>
      <c r="O28" s="12" t="s">
        <v>120</v>
      </c>
      <c r="P28" s="57">
        <v>27137.3</v>
      </c>
      <c r="Q28" s="19">
        <v>27137.31</v>
      </c>
      <c r="R28" s="16">
        <f t="shared" si="11"/>
        <v>-1.0000000002037268E-2</v>
      </c>
    </row>
    <row r="29" spans="1:18" ht="18.75" x14ac:dyDescent="0.3">
      <c r="A29" s="42" t="s">
        <v>46</v>
      </c>
      <c r="B29" s="12" t="s">
        <v>49</v>
      </c>
      <c r="C29" s="24"/>
      <c r="D29" s="22"/>
      <c r="E29" s="19"/>
      <c r="F29" s="16"/>
      <c r="H29" s="42" t="s">
        <v>46</v>
      </c>
      <c r="I29" s="12" t="s">
        <v>49</v>
      </c>
      <c r="J29" s="24"/>
      <c r="K29" s="19"/>
      <c r="L29" s="16"/>
      <c r="N29" s="42" t="s">
        <v>132</v>
      </c>
      <c r="O29" s="12" t="s">
        <v>121</v>
      </c>
      <c r="P29" s="57">
        <v>29903.759999999998</v>
      </c>
      <c r="Q29" s="19">
        <f>15310.08+14593.68</f>
        <v>29903.760000000002</v>
      </c>
      <c r="R29" s="16">
        <f t="shared" si="11"/>
        <v>0</v>
      </c>
    </row>
    <row r="30" spans="1:18" ht="18.75" x14ac:dyDescent="0.3">
      <c r="A30" s="42" t="s">
        <v>47</v>
      </c>
      <c r="B30" s="12" t="s">
        <v>50</v>
      </c>
      <c r="C30" s="24"/>
      <c r="D30" s="22"/>
      <c r="E30" s="19"/>
      <c r="F30" s="16">
        <f t="shared" si="0"/>
        <v>0</v>
      </c>
      <c r="H30" s="42" t="s">
        <v>47</v>
      </c>
      <c r="I30" s="12" t="s">
        <v>50</v>
      </c>
      <c r="J30" s="24"/>
      <c r="K30" s="19"/>
      <c r="L30" s="16">
        <f t="shared" ref="L30:L33" si="12">J30-K30</f>
        <v>0</v>
      </c>
      <c r="N30" s="42" t="s">
        <v>133</v>
      </c>
      <c r="O30" s="12" t="s">
        <v>122</v>
      </c>
      <c r="P30" s="57">
        <v>39744.57</v>
      </c>
      <c r="Q30" s="19">
        <f>31993.41+555.73</f>
        <v>32549.14</v>
      </c>
      <c r="R30" s="16">
        <f t="shared" si="11"/>
        <v>7195.43</v>
      </c>
    </row>
    <row r="31" spans="1:18" ht="18.75" x14ac:dyDescent="0.3">
      <c r="A31" s="7" t="s">
        <v>48</v>
      </c>
      <c r="B31" s="12" t="s">
        <v>51</v>
      </c>
      <c r="C31" s="24"/>
      <c r="D31" s="22"/>
      <c r="E31" s="19"/>
      <c r="F31" s="16">
        <f t="shared" si="0"/>
        <v>0</v>
      </c>
      <c r="H31" s="7" t="s">
        <v>48</v>
      </c>
      <c r="I31" s="12" t="s">
        <v>51</v>
      </c>
      <c r="J31" s="24"/>
      <c r="K31" s="19"/>
      <c r="L31" s="16">
        <f t="shared" si="12"/>
        <v>0</v>
      </c>
      <c r="N31" s="7" t="s">
        <v>48</v>
      </c>
      <c r="O31" s="12" t="s">
        <v>51</v>
      </c>
      <c r="P31" s="24"/>
      <c r="Q31" s="19"/>
      <c r="R31" s="16">
        <f t="shared" si="11"/>
        <v>0</v>
      </c>
    </row>
    <row r="32" spans="1:18" ht="18.75" x14ac:dyDescent="0.3">
      <c r="A32" s="7" t="s">
        <v>74</v>
      </c>
      <c r="B32" s="12" t="s">
        <v>72</v>
      </c>
      <c r="C32" s="24"/>
      <c r="D32" s="22"/>
      <c r="E32" s="74"/>
      <c r="F32" s="16">
        <f t="shared" si="0"/>
        <v>0</v>
      </c>
      <c r="H32" s="13" t="s">
        <v>56</v>
      </c>
      <c r="I32" s="12" t="s">
        <v>57</v>
      </c>
      <c r="J32" s="25"/>
      <c r="K32" s="19"/>
      <c r="L32" s="16">
        <f>J32-K34</f>
        <v>-116.27</v>
      </c>
      <c r="N32" s="13" t="s">
        <v>56</v>
      </c>
      <c r="O32" s="12" t="s">
        <v>57</v>
      </c>
      <c r="P32" s="71">
        <f>88273.22+51909.65+25459.75+3648.4</f>
        <v>169291.02</v>
      </c>
      <c r="Q32" s="19"/>
      <c r="R32" s="16">
        <f>P32-Q34</f>
        <v>1399.0899999999965</v>
      </c>
    </row>
    <row r="33" spans="1:18" ht="18.75" x14ac:dyDescent="0.3">
      <c r="A33" s="7" t="s">
        <v>75</v>
      </c>
      <c r="B33" s="12" t="s">
        <v>73</v>
      </c>
      <c r="C33" s="24"/>
      <c r="D33" s="22"/>
      <c r="E33" s="75"/>
      <c r="F33" s="16">
        <f t="shared" si="0"/>
        <v>0</v>
      </c>
      <c r="J33" s="24"/>
      <c r="K33" s="19"/>
      <c r="L33" s="16">
        <f t="shared" si="12"/>
        <v>0</v>
      </c>
      <c r="P33" s="24"/>
      <c r="Q33" s="19"/>
      <c r="R33" s="16">
        <f t="shared" si="11"/>
        <v>0</v>
      </c>
    </row>
    <row r="34" spans="1:18" ht="18.75" x14ac:dyDescent="0.3">
      <c r="A34" s="13" t="s">
        <v>26</v>
      </c>
      <c r="B34" s="12" t="s">
        <v>27</v>
      </c>
      <c r="C34" s="25"/>
      <c r="D34" s="22"/>
      <c r="E34" s="19"/>
      <c r="F34" s="16">
        <f t="shared" si="0"/>
        <v>0</v>
      </c>
      <c r="I34" t="s">
        <v>28</v>
      </c>
      <c r="J34" s="26">
        <v>1660</v>
      </c>
      <c r="K34" s="55">
        <f>K6+K7+K13+K19+K30+K31</f>
        <v>116.27</v>
      </c>
      <c r="L34" s="26">
        <f>J34-K34</f>
        <v>1543.73</v>
      </c>
      <c r="N34" t="s">
        <v>136</v>
      </c>
      <c r="O34" t="s">
        <v>28</v>
      </c>
      <c r="P34" s="26">
        <v>180758.65</v>
      </c>
      <c r="Q34" s="55">
        <f>Q6+Q24+Q28+Q29+Q307+Q13+Q19+Q30+Q31</f>
        <v>167891.93</v>
      </c>
      <c r="R34" s="26">
        <f>P34-Q34</f>
        <v>12866.720000000001</v>
      </c>
    </row>
    <row r="35" spans="1:18" ht="18.75" x14ac:dyDescent="0.3">
      <c r="C35" s="24"/>
      <c r="D35" s="24"/>
      <c r="E35" s="19"/>
      <c r="F35" s="16">
        <f t="shared" si="0"/>
        <v>0</v>
      </c>
      <c r="J35" s="50"/>
      <c r="K35" s="20"/>
      <c r="N35" t="s">
        <v>135</v>
      </c>
      <c r="P35" s="26">
        <f>114876.54+60210.8</f>
        <v>175087.34</v>
      </c>
      <c r="Q35" s="20"/>
    </row>
    <row r="36" spans="1:18" ht="18.75" x14ac:dyDescent="0.3">
      <c r="B36" t="s">
        <v>28</v>
      </c>
      <c r="C36" s="26">
        <f>C6+C7+C13+C19+C30+C31+C32+C33</f>
        <v>0</v>
      </c>
      <c r="D36" s="26">
        <f>D6+D7+D13+D19+D30+D31+D32+D33</f>
        <v>0</v>
      </c>
      <c r="E36" s="55">
        <f>E6+E7+E13+E19+E30+E31+E33</f>
        <v>1048.99</v>
      </c>
      <c r="F36" s="55">
        <f>F6+F7+F13+F19+F30+F31+F32+F33</f>
        <v>-1048.99</v>
      </c>
      <c r="H36" s="1" t="s">
        <v>53</v>
      </c>
      <c r="J36" s="50"/>
      <c r="K36" s="56" t="s">
        <v>54</v>
      </c>
      <c r="N36" s="1" t="s">
        <v>53</v>
      </c>
      <c r="P36" s="50"/>
      <c r="Q36" s="56" t="s">
        <v>54</v>
      </c>
    </row>
    <row r="37" spans="1:18" ht="18" x14ac:dyDescent="0.25">
      <c r="C37" s="50"/>
      <c r="D37" s="50"/>
      <c r="E37" s="20"/>
      <c r="J37" s="50"/>
      <c r="K37" s="20"/>
      <c r="P37" s="50"/>
      <c r="Q37" s="20"/>
    </row>
    <row r="38" spans="1:18" s="28" customFormat="1" ht="18.75" x14ac:dyDescent="0.3">
      <c r="A38" s="1" t="s">
        <v>53</v>
      </c>
      <c r="B38"/>
      <c r="C38" s="50"/>
      <c r="D38" s="50"/>
      <c r="E38" s="56" t="s">
        <v>54</v>
      </c>
      <c r="F38"/>
      <c r="K38" s="29"/>
      <c r="Q38" s="29"/>
    </row>
    <row r="39" spans="1:18" s="28" customFormat="1" ht="21" x14ac:dyDescent="0.35">
      <c r="A39"/>
      <c r="B39"/>
      <c r="C39" s="50"/>
      <c r="D39" s="50"/>
      <c r="E39" s="20"/>
      <c r="F39"/>
      <c r="H39" s="92"/>
      <c r="I39" s="92"/>
      <c r="J39" s="30"/>
      <c r="K39" s="31"/>
      <c r="L39" s="32"/>
      <c r="N39" s="92"/>
      <c r="O39" s="92"/>
      <c r="P39" s="30"/>
      <c r="Q39" s="31"/>
      <c r="R39" s="32"/>
    </row>
    <row r="40" spans="1:18" s="28" customFormat="1" ht="18" x14ac:dyDescent="0.25">
      <c r="E40" s="29"/>
      <c r="I40" s="27"/>
      <c r="J40" s="33"/>
      <c r="K40" s="34"/>
      <c r="L40" s="35"/>
      <c r="O40" s="27"/>
      <c r="P40" s="33"/>
      <c r="Q40" s="34"/>
      <c r="R40" s="35"/>
    </row>
    <row r="41" spans="1:18" s="28" customFormat="1" ht="21.75" customHeight="1" x14ac:dyDescent="0.35">
      <c r="A41" s="92"/>
      <c r="B41" s="92"/>
      <c r="C41" s="30">
        <f>C34-809</f>
        <v>-809</v>
      </c>
      <c r="D41" s="79">
        <v>809</v>
      </c>
      <c r="E41" s="93" t="s">
        <v>144</v>
      </c>
      <c r="F41" s="93"/>
      <c r="I41" s="27"/>
      <c r="J41" s="36"/>
      <c r="K41" s="37"/>
      <c r="L41" s="35"/>
      <c r="O41" s="27"/>
      <c r="P41" s="36"/>
      <c r="Q41" s="37"/>
      <c r="R41" s="35"/>
    </row>
    <row r="42" spans="1:18" s="28" customFormat="1" ht="18" x14ac:dyDescent="0.25">
      <c r="B42" s="27"/>
      <c r="C42" s="33"/>
      <c r="D42" s="77">
        <v>2122.44</v>
      </c>
      <c r="E42" s="34" t="s">
        <v>140</v>
      </c>
      <c r="F42" s="35"/>
      <c r="I42" s="27"/>
      <c r="J42" s="36"/>
      <c r="K42" s="37"/>
      <c r="L42" s="35"/>
      <c r="O42" s="27"/>
      <c r="P42" s="36"/>
      <c r="Q42" s="37"/>
      <c r="R42" s="35"/>
    </row>
    <row r="43" spans="1:18" s="28" customFormat="1" ht="18" x14ac:dyDescent="0.25">
      <c r="B43" s="27"/>
      <c r="C43" s="36"/>
      <c r="D43" s="33">
        <v>1632</v>
      </c>
      <c r="E43" s="34" t="s">
        <v>141</v>
      </c>
      <c r="F43" s="35"/>
      <c r="I43" s="27"/>
      <c r="J43" s="36"/>
      <c r="K43" s="37"/>
      <c r="L43" s="35"/>
      <c r="O43" s="27"/>
      <c r="P43" s="36"/>
      <c r="Q43" s="37"/>
      <c r="R43" s="35"/>
    </row>
    <row r="44" spans="1:18" s="39" customFormat="1" ht="18" x14ac:dyDescent="0.25">
      <c r="C44" s="33"/>
      <c r="D44" s="33">
        <v>7225</v>
      </c>
      <c r="E44" s="34" t="s">
        <v>143</v>
      </c>
      <c r="F44" s="35"/>
      <c r="I44" s="78"/>
      <c r="J44" s="33"/>
      <c r="K44" s="34"/>
      <c r="L44" s="35"/>
      <c r="O44" s="78"/>
      <c r="P44" s="33"/>
      <c r="Q44" s="34"/>
      <c r="R44" s="35"/>
    </row>
    <row r="45" spans="1:18" s="28" customFormat="1" ht="18" x14ac:dyDescent="0.25">
      <c r="C45" s="36"/>
      <c r="D45" s="77">
        <v>987.17</v>
      </c>
      <c r="E45" s="34" t="s">
        <v>145</v>
      </c>
      <c r="F45" s="35"/>
      <c r="I45" s="27"/>
      <c r="J45" s="36"/>
      <c r="K45" s="37"/>
      <c r="L45" s="35"/>
      <c r="O45" s="27"/>
      <c r="P45" s="36"/>
      <c r="Q45" s="37"/>
      <c r="R45" s="35"/>
    </row>
    <row r="46" spans="1:18" s="28" customFormat="1" ht="18" x14ac:dyDescent="0.25">
      <c r="C46" s="36"/>
      <c r="D46" s="80">
        <v>298.57</v>
      </c>
      <c r="E46" s="37" t="s">
        <v>152</v>
      </c>
      <c r="F46" s="35"/>
      <c r="I46" s="27"/>
      <c r="J46" s="36"/>
      <c r="K46" s="37"/>
      <c r="L46" s="35"/>
      <c r="O46" s="27"/>
      <c r="P46" s="36"/>
      <c r="Q46" s="37"/>
      <c r="R46" s="35"/>
    </row>
    <row r="47" spans="1:18" s="28" customFormat="1" ht="18" x14ac:dyDescent="0.25">
      <c r="C47" s="36"/>
      <c r="D47" s="36"/>
      <c r="E47" s="37"/>
      <c r="F47" s="35"/>
      <c r="I47" s="27"/>
      <c r="J47" s="36"/>
      <c r="K47" s="37"/>
      <c r="L47" s="35"/>
      <c r="O47" s="27"/>
      <c r="P47" s="36"/>
      <c r="Q47" s="37"/>
      <c r="R47" s="35"/>
    </row>
    <row r="48" spans="1:18" s="28" customFormat="1" ht="18" x14ac:dyDescent="0.25">
      <c r="B48" s="78">
        <v>809</v>
      </c>
      <c r="C48" s="36"/>
      <c r="D48" s="36"/>
      <c r="E48" s="37"/>
      <c r="F48" s="35"/>
      <c r="I48" s="27"/>
      <c r="J48" s="36"/>
      <c r="K48" s="37"/>
      <c r="L48" s="35"/>
      <c r="O48" s="27"/>
      <c r="P48" s="36"/>
      <c r="Q48" s="37"/>
      <c r="R48" s="35"/>
    </row>
    <row r="49" spans="1:18" s="28" customFormat="1" ht="18" x14ac:dyDescent="0.25">
      <c r="B49" s="27">
        <v>2122.44</v>
      </c>
      <c r="C49" s="36"/>
      <c r="D49" s="36"/>
      <c r="E49" s="37"/>
      <c r="F49" s="35"/>
      <c r="I49" s="27"/>
      <c r="J49" s="36"/>
      <c r="K49" s="37"/>
      <c r="L49" s="35"/>
      <c r="O49" s="27"/>
      <c r="P49" s="36"/>
      <c r="Q49" s="37"/>
      <c r="R49" s="35"/>
    </row>
    <row r="50" spans="1:18" s="28" customFormat="1" ht="18" x14ac:dyDescent="0.25">
      <c r="B50" s="27">
        <v>987.17</v>
      </c>
      <c r="C50" s="36"/>
      <c r="D50" s="36"/>
      <c r="E50" s="37"/>
      <c r="F50" s="35"/>
      <c r="I50" s="27"/>
      <c r="J50" s="36"/>
      <c r="K50" s="37"/>
      <c r="L50" s="35"/>
      <c r="O50" s="27"/>
      <c r="P50" s="36"/>
      <c r="Q50" s="37"/>
      <c r="R50" s="35"/>
    </row>
    <row r="51" spans="1:18" s="28" customFormat="1" ht="18" x14ac:dyDescent="0.25">
      <c r="B51" s="27">
        <v>7225</v>
      </c>
      <c r="C51" s="36"/>
      <c r="D51" s="36"/>
      <c r="E51" s="37"/>
      <c r="F51" s="35"/>
      <c r="I51" s="27"/>
      <c r="J51" s="36"/>
      <c r="K51" s="37"/>
      <c r="L51" s="35"/>
      <c r="O51" s="27"/>
      <c r="P51" s="36"/>
      <c r="Q51" s="37"/>
      <c r="R51" s="35"/>
    </row>
    <row r="52" spans="1:18" s="28" customFormat="1" ht="18" x14ac:dyDescent="0.25">
      <c r="B52" s="27">
        <v>1632</v>
      </c>
      <c r="C52" s="36"/>
      <c r="D52" s="36"/>
      <c r="E52" s="37"/>
      <c r="F52" s="35"/>
      <c r="I52" s="27"/>
      <c r="J52" s="36"/>
      <c r="K52" s="37"/>
      <c r="L52" s="35"/>
      <c r="O52" s="27"/>
      <c r="P52" s="36"/>
      <c r="Q52" s="37"/>
      <c r="R52" s="35"/>
    </row>
    <row r="53" spans="1:18" s="28" customFormat="1" ht="18" x14ac:dyDescent="0.25">
      <c r="B53" s="27">
        <v>23984</v>
      </c>
      <c r="C53" s="36"/>
      <c r="D53" s="36"/>
      <c r="E53" s="37"/>
      <c r="F53" s="35"/>
      <c r="J53" s="33"/>
      <c r="K53" s="34"/>
      <c r="L53" s="35"/>
      <c r="P53" s="33"/>
      <c r="Q53" s="34"/>
      <c r="R53" s="35"/>
    </row>
    <row r="54" spans="1:18" s="28" customFormat="1" ht="18" x14ac:dyDescent="0.25">
      <c r="B54" s="27">
        <v>3522.56</v>
      </c>
      <c r="C54" s="36"/>
      <c r="D54" s="36"/>
      <c r="E54" s="37"/>
      <c r="F54" s="35"/>
      <c r="J54" s="35"/>
      <c r="K54" s="34"/>
      <c r="L54" s="35"/>
      <c r="P54" s="35"/>
      <c r="Q54" s="34"/>
      <c r="R54" s="35"/>
    </row>
    <row r="55" spans="1:18" s="28" customFormat="1" ht="18" x14ac:dyDescent="0.25">
      <c r="B55" s="27">
        <v>7331.03</v>
      </c>
      <c r="C55" s="33"/>
      <c r="D55" s="33"/>
      <c r="E55" s="34"/>
      <c r="F55" s="35"/>
      <c r="J55" s="35"/>
      <c r="K55" s="34"/>
      <c r="L55" s="35"/>
      <c r="P55" s="35"/>
      <c r="Q55" s="34"/>
      <c r="R55" s="35"/>
    </row>
    <row r="56" spans="1:18" s="28" customFormat="1" ht="18" x14ac:dyDescent="0.25">
      <c r="B56" s="27">
        <f>SUM(B48:B55)</f>
        <v>47613.2</v>
      </c>
      <c r="C56" s="35"/>
      <c r="D56" s="35"/>
      <c r="E56" s="34"/>
      <c r="F56" s="35"/>
      <c r="H56" s="39"/>
      <c r="J56" s="40"/>
      <c r="K56" s="27"/>
      <c r="N56" s="39"/>
      <c r="P56" s="40"/>
      <c r="Q56" s="27"/>
    </row>
    <row r="57" spans="1:18" s="28" customFormat="1" ht="18" x14ac:dyDescent="0.25">
      <c r="B57" s="27"/>
      <c r="C57" s="35"/>
      <c r="D57" s="35"/>
      <c r="E57" s="34"/>
      <c r="F57" s="35"/>
      <c r="J57" s="41"/>
      <c r="K57" s="41"/>
      <c r="P57" s="41"/>
      <c r="Q57" s="41"/>
    </row>
    <row r="58" spans="1:18" s="28" customFormat="1" ht="18" x14ac:dyDescent="0.25">
      <c r="A58" s="39"/>
      <c r="B58" s="40">
        <f>D36-B56</f>
        <v>-47613.2</v>
      </c>
      <c r="C58" s="40"/>
      <c r="D58" s="40"/>
      <c r="E58" s="27"/>
      <c r="H58" s="38"/>
      <c r="I58" s="27"/>
      <c r="J58" s="27"/>
      <c r="K58" s="27"/>
      <c r="N58" s="38"/>
      <c r="O58" s="27"/>
      <c r="P58" s="27"/>
      <c r="Q58" s="27"/>
    </row>
    <row r="59" spans="1:18" s="28" customFormat="1" ht="18" x14ac:dyDescent="0.25">
      <c r="C59" s="41"/>
      <c r="D59" s="41"/>
      <c r="E59" s="41"/>
      <c r="I59" s="27"/>
      <c r="J59" s="27"/>
      <c r="K59" s="27"/>
      <c r="O59" s="27"/>
      <c r="P59" s="27"/>
      <c r="Q59" s="27"/>
    </row>
    <row r="60" spans="1:18" s="28" customFormat="1" ht="18" x14ac:dyDescent="0.25">
      <c r="A60" s="38"/>
      <c r="B60" s="27"/>
      <c r="C60" s="27"/>
      <c r="D60" s="27"/>
      <c r="E60" s="27"/>
      <c r="I60" s="27"/>
      <c r="J60" s="27"/>
      <c r="K60" s="27"/>
      <c r="O60" s="27"/>
      <c r="P60" s="27"/>
      <c r="Q60" s="27"/>
    </row>
    <row r="61" spans="1:18" s="28" customFormat="1" ht="18" x14ac:dyDescent="0.25">
      <c r="B61" s="27"/>
      <c r="C61" s="27"/>
      <c r="D61" s="27"/>
      <c r="E61" s="27"/>
      <c r="H61" s="38"/>
      <c r="I61" s="27"/>
      <c r="J61" s="27"/>
      <c r="K61" s="27"/>
      <c r="N61" s="38"/>
      <c r="O61" s="27"/>
      <c r="P61" s="27"/>
      <c r="Q61" s="27"/>
    </row>
    <row r="62" spans="1:18" s="28" customFormat="1" ht="18" x14ac:dyDescent="0.25">
      <c r="B62" s="27"/>
      <c r="C62" s="27"/>
      <c r="D62" s="27"/>
      <c r="E62" s="27"/>
      <c r="H62" s="38"/>
      <c r="I62" s="27"/>
      <c r="J62" s="27"/>
      <c r="K62" s="27"/>
      <c r="N62" s="38"/>
      <c r="O62" s="27"/>
      <c r="P62" s="27"/>
      <c r="Q62" s="27"/>
    </row>
    <row r="63" spans="1:18" s="28" customFormat="1" ht="18" x14ac:dyDescent="0.25">
      <c r="A63" s="38"/>
      <c r="B63" s="27"/>
      <c r="C63" s="27"/>
      <c r="D63" s="27"/>
      <c r="E63" s="27"/>
      <c r="H63" s="38"/>
      <c r="I63" s="27"/>
      <c r="J63" s="27"/>
      <c r="K63" s="27"/>
      <c r="N63" s="38"/>
      <c r="O63" s="27"/>
      <c r="P63" s="27"/>
      <c r="Q63" s="27"/>
    </row>
    <row r="64" spans="1:18" s="28" customFormat="1" ht="18" x14ac:dyDescent="0.25">
      <c r="A64" s="38"/>
      <c r="B64" s="27"/>
      <c r="C64" s="27"/>
      <c r="D64" s="27"/>
      <c r="E64" s="27"/>
      <c r="H64" s="38"/>
      <c r="I64" s="27"/>
      <c r="J64" s="27"/>
      <c r="K64" s="27"/>
      <c r="N64" s="38"/>
      <c r="O64" s="27"/>
      <c r="P64" s="27"/>
      <c r="Q64" s="27"/>
    </row>
    <row r="65" spans="1:6" s="28" customFormat="1" ht="18" x14ac:dyDescent="0.25">
      <c r="A65" s="38"/>
      <c r="B65" s="27"/>
      <c r="C65" s="27"/>
      <c r="D65" s="27"/>
      <c r="E65" s="27"/>
    </row>
    <row r="66" spans="1:6" ht="18" x14ac:dyDescent="0.25">
      <c r="A66" s="38"/>
      <c r="B66" s="27"/>
      <c r="C66" s="27"/>
      <c r="D66" s="27"/>
      <c r="E66" s="27"/>
      <c r="F66" s="28"/>
    </row>
    <row r="67" spans="1:6" x14ac:dyDescent="0.25">
      <c r="A67" s="28"/>
      <c r="B67" s="28"/>
      <c r="C67" s="28"/>
      <c r="D67" s="28"/>
      <c r="E67" s="28"/>
      <c r="F67" s="28"/>
    </row>
  </sheetData>
  <mergeCells count="10">
    <mergeCell ref="A5:B5"/>
    <mergeCell ref="A6:A7"/>
    <mergeCell ref="A41:B41"/>
    <mergeCell ref="H5:I5"/>
    <mergeCell ref="N5:O5"/>
    <mergeCell ref="H6:H7"/>
    <mergeCell ref="N6:N7"/>
    <mergeCell ref="H39:I39"/>
    <mergeCell ref="N39:O39"/>
    <mergeCell ref="E41:F41"/>
  </mergeCells>
  <pageMargins left="0.9055118110236221" right="0.70866141732283472" top="0.74803149606299213" bottom="0.74803149606299213" header="0.31496062992125984" footer="0.31496062992125984"/>
  <pageSetup paperSize="9" scale="84" orientation="portrait" r:id="rId1"/>
  <colBreaks count="1" manualBreakCount="1">
    <brk id="6" max="36" man="1"/>
  </colBreak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7"/>
  <sheetViews>
    <sheetView view="pageBreakPreview" zoomScale="80" zoomScaleNormal="100" zoomScaleSheetLayoutView="80" workbookViewId="0">
      <selection sqref="A1:XFD1048576"/>
    </sheetView>
  </sheetViews>
  <sheetFormatPr defaultRowHeight="15" x14ac:dyDescent="0.25"/>
  <cols>
    <col min="1" max="1" width="27.5703125" customWidth="1"/>
    <col min="2" max="2" width="11.5703125" customWidth="1"/>
    <col min="3" max="3" width="13.140625" customWidth="1"/>
    <col min="4" max="4" width="14.42578125" customWidth="1"/>
    <col min="5" max="5" width="15" customWidth="1"/>
    <col min="6" max="6" width="16" customWidth="1"/>
    <col min="7" max="7" width="7.7109375" customWidth="1"/>
    <col min="8" max="8" width="28.85546875" customWidth="1"/>
    <col min="9" max="9" width="11.42578125" customWidth="1"/>
    <col min="10" max="10" width="14.28515625" customWidth="1"/>
    <col min="11" max="11" width="15" customWidth="1"/>
    <col min="12" max="12" width="14.5703125" customWidth="1"/>
    <col min="14" max="14" width="28.85546875" customWidth="1"/>
    <col min="15" max="15" width="11.42578125" customWidth="1"/>
    <col min="16" max="16" width="16.28515625" customWidth="1"/>
    <col min="17" max="17" width="15" customWidth="1"/>
    <col min="18" max="18" width="14.5703125" customWidth="1"/>
    <col min="20" max="20" width="28.85546875" customWidth="1"/>
    <col min="21" max="21" width="11.42578125" customWidth="1"/>
    <col min="22" max="22" width="16.28515625" customWidth="1"/>
    <col min="23" max="23" width="15" customWidth="1"/>
    <col min="24" max="24" width="14.5703125" customWidth="1"/>
  </cols>
  <sheetData>
    <row r="1" spans="1:24" ht="18.75" x14ac:dyDescent="0.3">
      <c r="B1" s="1" t="s">
        <v>157</v>
      </c>
      <c r="C1" s="1"/>
      <c r="D1" s="1"/>
      <c r="E1" s="1"/>
      <c r="I1" s="1" t="s">
        <v>158</v>
      </c>
      <c r="K1" s="1"/>
      <c r="O1" s="1" t="s">
        <v>119</v>
      </c>
      <c r="Q1" s="1"/>
      <c r="U1" s="1" t="s">
        <v>163</v>
      </c>
      <c r="W1" s="1"/>
    </row>
    <row r="2" spans="1:24" ht="18.75" x14ac:dyDescent="0.3">
      <c r="B2" s="1" t="s">
        <v>52</v>
      </c>
      <c r="C2" s="1"/>
      <c r="D2" s="1"/>
      <c r="E2" s="1"/>
      <c r="I2" s="1" t="s">
        <v>52</v>
      </c>
      <c r="K2" s="1"/>
      <c r="O2" s="1" t="s">
        <v>52</v>
      </c>
      <c r="Q2" s="1"/>
      <c r="U2" s="1" t="s">
        <v>52</v>
      </c>
      <c r="W2" s="1"/>
    </row>
    <row r="3" spans="1:24" ht="18.75" x14ac:dyDescent="0.3">
      <c r="B3" s="1"/>
      <c r="C3" s="1"/>
      <c r="D3" s="1"/>
      <c r="E3" s="1"/>
      <c r="I3" s="1"/>
      <c r="J3" s="1"/>
      <c r="K3" s="1"/>
      <c r="O3" s="1"/>
      <c r="P3" s="1"/>
      <c r="Q3" s="1"/>
      <c r="U3" s="1"/>
      <c r="V3" s="1"/>
      <c r="W3" s="1"/>
    </row>
    <row r="4" spans="1:24" ht="19.5" thickBot="1" x14ac:dyDescent="0.35">
      <c r="F4" s="1"/>
      <c r="L4" s="1"/>
      <c r="R4" s="1"/>
      <c r="X4" s="1"/>
    </row>
    <row r="5" spans="1:24" ht="63.75" thickBot="1" x14ac:dyDescent="0.4">
      <c r="A5" s="88" t="s">
        <v>62</v>
      </c>
      <c r="B5" s="89"/>
      <c r="C5" s="8" t="s">
        <v>153</v>
      </c>
      <c r="D5" s="8" t="s">
        <v>154</v>
      </c>
      <c r="E5" s="58" t="s">
        <v>161</v>
      </c>
      <c r="F5" s="10" t="s">
        <v>39</v>
      </c>
      <c r="H5" s="88" t="s">
        <v>43</v>
      </c>
      <c r="I5" s="89"/>
      <c r="J5" s="8" t="s">
        <v>156</v>
      </c>
      <c r="K5" s="58" t="s">
        <v>161</v>
      </c>
      <c r="L5" s="10" t="s">
        <v>39</v>
      </c>
      <c r="N5" s="88" t="s">
        <v>43</v>
      </c>
      <c r="O5" s="89"/>
      <c r="P5" s="8" t="s">
        <v>162</v>
      </c>
      <c r="Q5" s="58" t="s">
        <v>161</v>
      </c>
      <c r="R5" s="10" t="s">
        <v>39</v>
      </c>
      <c r="T5" s="88" t="s">
        <v>43</v>
      </c>
      <c r="U5" s="89"/>
      <c r="V5" s="8" t="s">
        <v>162</v>
      </c>
      <c r="W5" s="58" t="s">
        <v>161</v>
      </c>
      <c r="X5" s="10" t="s">
        <v>39</v>
      </c>
    </row>
    <row r="6" spans="1:24" ht="18.75" x14ac:dyDescent="0.3">
      <c r="A6" s="90" t="s">
        <v>0</v>
      </c>
      <c r="B6" s="11" t="s">
        <v>1</v>
      </c>
      <c r="C6" s="22"/>
      <c r="D6" s="22"/>
      <c r="E6" s="18">
        <f>24425.64</f>
        <v>24425.64</v>
      </c>
      <c r="F6" s="14">
        <f>D6-E6</f>
        <v>-24425.64</v>
      </c>
      <c r="H6" s="90" t="s">
        <v>0</v>
      </c>
      <c r="I6" s="11" t="s">
        <v>1</v>
      </c>
      <c r="J6" s="22"/>
      <c r="K6" s="18"/>
      <c r="L6" s="14">
        <f>J6-K6</f>
        <v>0</v>
      </c>
      <c r="N6" s="90" t="s">
        <v>0</v>
      </c>
      <c r="O6" s="11" t="s">
        <v>1</v>
      </c>
      <c r="P6" s="22"/>
      <c r="Q6" s="18"/>
      <c r="R6" s="14">
        <f>P6-Q6</f>
        <v>0</v>
      </c>
      <c r="T6" s="90" t="s">
        <v>0</v>
      </c>
      <c r="U6" s="11" t="s">
        <v>1</v>
      </c>
      <c r="V6" s="22"/>
      <c r="W6" s="18"/>
      <c r="X6" s="14">
        <f>V6-W6</f>
        <v>0</v>
      </c>
    </row>
    <row r="7" spans="1:24" ht="18.75" x14ac:dyDescent="0.3">
      <c r="A7" s="91"/>
      <c r="B7" s="3" t="s">
        <v>2</v>
      </c>
      <c r="C7" s="23"/>
      <c r="D7" s="22"/>
      <c r="E7" s="17">
        <f>E8+E9+E10+E11</f>
        <v>629.61</v>
      </c>
      <c r="F7" s="15">
        <f t="shared" ref="F7:F35" si="0">D7-E7</f>
        <v>-629.61</v>
      </c>
      <c r="H7" s="91"/>
      <c r="I7" s="3" t="s">
        <v>2</v>
      </c>
      <c r="J7" s="23"/>
      <c r="K7" s="17"/>
      <c r="L7" s="15">
        <f t="shared" ref="L7:L11" si="1">J7-K7</f>
        <v>0</v>
      </c>
      <c r="N7" s="91"/>
      <c r="O7" s="3" t="s">
        <v>2</v>
      </c>
      <c r="P7" s="23"/>
      <c r="Q7" s="17"/>
      <c r="R7" s="15">
        <f t="shared" ref="R7:R11" si="2">P7-Q7</f>
        <v>0</v>
      </c>
      <c r="T7" s="91"/>
      <c r="U7" s="3" t="s">
        <v>2</v>
      </c>
      <c r="V7" s="23"/>
      <c r="W7" s="17"/>
      <c r="X7" s="15">
        <f t="shared" ref="X7:X11" si="3">V7-W7</f>
        <v>0</v>
      </c>
    </row>
    <row r="8" spans="1:24" ht="18.75" x14ac:dyDescent="0.3">
      <c r="A8" s="7" t="s">
        <v>3</v>
      </c>
      <c r="B8" s="4" t="s">
        <v>4</v>
      </c>
      <c r="C8" s="24"/>
      <c r="D8" s="22"/>
      <c r="E8" s="19"/>
      <c r="F8" s="16">
        <f t="shared" si="0"/>
        <v>0</v>
      </c>
      <c r="H8" s="7" t="s">
        <v>3</v>
      </c>
      <c r="I8" s="4" t="s">
        <v>4</v>
      </c>
      <c r="J8" s="24"/>
      <c r="K8" s="19"/>
      <c r="L8" s="16">
        <f t="shared" si="1"/>
        <v>0</v>
      </c>
      <c r="N8" s="7" t="s">
        <v>3</v>
      </c>
      <c r="O8" s="4" t="s">
        <v>4</v>
      </c>
      <c r="P8" s="24"/>
      <c r="Q8" s="19"/>
      <c r="R8" s="16">
        <f t="shared" si="2"/>
        <v>0</v>
      </c>
      <c r="T8" s="7" t="s">
        <v>3</v>
      </c>
      <c r="U8" s="4" t="s">
        <v>4</v>
      </c>
      <c r="V8" s="24"/>
      <c r="W8" s="19"/>
      <c r="X8" s="16">
        <f t="shared" si="3"/>
        <v>0</v>
      </c>
    </row>
    <row r="9" spans="1:24" ht="18.75" x14ac:dyDescent="0.3">
      <c r="A9" s="7" t="s">
        <v>5</v>
      </c>
      <c r="B9" s="4" t="s">
        <v>6</v>
      </c>
      <c r="C9" s="24"/>
      <c r="D9" s="22"/>
      <c r="E9" s="19">
        <f>422.65</f>
        <v>422.65</v>
      </c>
      <c r="F9" s="16">
        <f t="shared" si="0"/>
        <v>-422.65</v>
      </c>
      <c r="H9" s="7" t="s">
        <v>5</v>
      </c>
      <c r="I9" s="4" t="s">
        <v>6</v>
      </c>
      <c r="J9" s="24"/>
      <c r="K9" s="19"/>
      <c r="L9" s="16">
        <f t="shared" si="1"/>
        <v>0</v>
      </c>
      <c r="N9" s="7" t="s">
        <v>5</v>
      </c>
      <c r="O9" s="4" t="s">
        <v>6</v>
      </c>
      <c r="P9" s="24"/>
      <c r="Q9" s="19"/>
      <c r="R9" s="16">
        <f t="shared" si="2"/>
        <v>0</v>
      </c>
      <c r="T9" s="7" t="s">
        <v>5</v>
      </c>
      <c r="U9" s="4" t="s">
        <v>6</v>
      </c>
      <c r="V9" s="24"/>
      <c r="W9" s="19"/>
      <c r="X9" s="16">
        <f t="shared" si="3"/>
        <v>0</v>
      </c>
    </row>
    <row r="10" spans="1:24" ht="18.75" x14ac:dyDescent="0.3">
      <c r="A10" s="7" t="s">
        <v>7</v>
      </c>
      <c r="B10" s="4" t="s">
        <v>8</v>
      </c>
      <c r="C10" s="21"/>
      <c r="D10" s="22"/>
      <c r="E10" s="19"/>
      <c r="F10" s="16">
        <f t="shared" si="0"/>
        <v>0</v>
      </c>
      <c r="H10" s="7" t="s">
        <v>7</v>
      </c>
      <c r="I10" s="4" t="s">
        <v>8</v>
      </c>
      <c r="J10" s="21"/>
      <c r="K10" s="19"/>
      <c r="L10" s="16">
        <f t="shared" si="1"/>
        <v>0</v>
      </c>
      <c r="N10" s="7" t="s">
        <v>7</v>
      </c>
      <c r="O10" s="4" t="s">
        <v>8</v>
      </c>
      <c r="P10" s="21"/>
      <c r="Q10" s="19"/>
      <c r="R10" s="16">
        <f t="shared" si="2"/>
        <v>0</v>
      </c>
      <c r="T10" s="7" t="s">
        <v>7</v>
      </c>
      <c r="U10" s="4" t="s">
        <v>8</v>
      </c>
      <c r="V10" s="21"/>
      <c r="W10" s="19"/>
      <c r="X10" s="16">
        <f t="shared" si="3"/>
        <v>0</v>
      </c>
    </row>
    <row r="11" spans="1:24" ht="18.75" x14ac:dyDescent="0.3">
      <c r="A11" s="7" t="s">
        <v>9</v>
      </c>
      <c r="B11" s="4" t="s">
        <v>10</v>
      </c>
      <c r="C11" s="24"/>
      <c r="D11" s="22"/>
      <c r="E11" s="19">
        <f>206.96</f>
        <v>206.96</v>
      </c>
      <c r="F11" s="16">
        <f t="shared" si="0"/>
        <v>-206.96</v>
      </c>
      <c r="H11" s="7" t="s">
        <v>9</v>
      </c>
      <c r="I11" s="4" t="s">
        <v>10</v>
      </c>
      <c r="J11" s="24"/>
      <c r="K11" s="19"/>
      <c r="L11" s="16">
        <f t="shared" si="1"/>
        <v>0</v>
      </c>
      <c r="N11" s="7" t="s">
        <v>9</v>
      </c>
      <c r="O11" s="4" t="s">
        <v>10</v>
      </c>
      <c r="P11" s="24"/>
      <c r="Q11" s="19"/>
      <c r="R11" s="16">
        <f t="shared" si="2"/>
        <v>0</v>
      </c>
      <c r="T11" s="7" t="s">
        <v>9</v>
      </c>
      <c r="U11" s="4" t="s">
        <v>10</v>
      </c>
      <c r="V11" s="24"/>
      <c r="W11" s="19"/>
      <c r="X11" s="16">
        <f t="shared" si="3"/>
        <v>0</v>
      </c>
    </row>
    <row r="12" spans="1:24" ht="18.75" x14ac:dyDescent="0.3">
      <c r="A12" s="7"/>
      <c r="B12" s="4"/>
      <c r="C12" s="24"/>
      <c r="D12" s="22"/>
      <c r="E12" s="19"/>
      <c r="F12" s="16"/>
      <c r="H12" s="7"/>
      <c r="I12" s="4"/>
      <c r="J12" s="24"/>
      <c r="K12" s="19"/>
      <c r="L12" s="16"/>
      <c r="N12" s="7"/>
      <c r="O12" s="4"/>
      <c r="P12" s="24"/>
      <c r="Q12" s="19"/>
      <c r="R12" s="16"/>
      <c r="T12" s="7"/>
      <c r="U12" s="4"/>
      <c r="V12" s="24"/>
      <c r="W12" s="19"/>
      <c r="X12" s="16"/>
    </row>
    <row r="13" spans="1:24" ht="18.75" x14ac:dyDescent="0.3">
      <c r="A13" s="7" t="s">
        <v>11</v>
      </c>
      <c r="B13" s="3" t="s">
        <v>12</v>
      </c>
      <c r="C13" s="23"/>
      <c r="D13" s="22"/>
      <c r="E13" s="23">
        <f>E14+E15+E16+E17</f>
        <v>5670.39</v>
      </c>
      <c r="F13" s="15">
        <f>D13-E13</f>
        <v>-5670.39</v>
      </c>
      <c r="H13" s="7" t="s">
        <v>11</v>
      </c>
      <c r="I13" s="3" t="s">
        <v>12</v>
      </c>
      <c r="J13" s="23"/>
      <c r="K13" s="23"/>
      <c r="L13" s="15">
        <f>J13-K13</f>
        <v>0</v>
      </c>
      <c r="N13" s="7" t="s">
        <v>11</v>
      </c>
      <c r="O13" s="3" t="s">
        <v>12</v>
      </c>
      <c r="P13" s="23"/>
      <c r="Q13" s="23"/>
      <c r="R13" s="15">
        <f>P13-Q13</f>
        <v>0</v>
      </c>
      <c r="T13" s="7" t="s">
        <v>11</v>
      </c>
      <c r="U13" s="3" t="s">
        <v>12</v>
      </c>
      <c r="V13" s="23"/>
      <c r="W13" s="23"/>
      <c r="X13" s="15">
        <f>V13-W13</f>
        <v>0</v>
      </c>
    </row>
    <row r="14" spans="1:24" ht="18.75" x14ac:dyDescent="0.3">
      <c r="A14" s="7" t="s">
        <v>13</v>
      </c>
      <c r="B14" s="4" t="s">
        <v>14</v>
      </c>
      <c r="C14" s="24"/>
      <c r="D14" s="22"/>
      <c r="E14" s="19">
        <f>2930.44</f>
        <v>2930.44</v>
      </c>
      <c r="F14" s="16">
        <f>D14-E14</f>
        <v>-2930.44</v>
      </c>
      <c r="H14" s="7" t="s">
        <v>13</v>
      </c>
      <c r="I14" s="4" t="s">
        <v>14</v>
      </c>
      <c r="J14" s="24"/>
      <c r="K14" s="19"/>
      <c r="L14" s="16">
        <f>J14-K14</f>
        <v>0</v>
      </c>
      <c r="N14" s="7" t="s">
        <v>13</v>
      </c>
      <c r="O14" s="4" t="s">
        <v>14</v>
      </c>
      <c r="P14" s="24"/>
      <c r="Q14" s="19"/>
      <c r="R14" s="16">
        <f>P14-Q14</f>
        <v>0</v>
      </c>
      <c r="T14" s="7" t="s">
        <v>13</v>
      </c>
      <c r="U14" s="4" t="s">
        <v>14</v>
      </c>
      <c r="V14" s="24"/>
      <c r="W14" s="19"/>
      <c r="X14" s="16">
        <f>V14-W14</f>
        <v>0</v>
      </c>
    </row>
    <row r="15" spans="1:24" ht="18.75" x14ac:dyDescent="0.3">
      <c r="A15" s="7" t="s">
        <v>15</v>
      </c>
      <c r="B15" s="4" t="s">
        <v>16</v>
      </c>
      <c r="C15" s="24"/>
      <c r="D15" s="22"/>
      <c r="E15" s="19">
        <f>951.76</f>
        <v>951.76</v>
      </c>
      <c r="F15" s="16">
        <f>D15-E15</f>
        <v>-951.76</v>
      </c>
      <c r="H15" s="7" t="s">
        <v>15</v>
      </c>
      <c r="I15" s="4" t="s">
        <v>16</v>
      </c>
      <c r="J15" s="24"/>
      <c r="K15" s="19"/>
      <c r="L15" s="16">
        <f>J15-K15</f>
        <v>0</v>
      </c>
      <c r="N15" s="7" t="s">
        <v>15</v>
      </c>
      <c r="O15" s="4" t="s">
        <v>16</v>
      </c>
      <c r="P15" s="24"/>
      <c r="Q15" s="19"/>
      <c r="R15" s="16">
        <f>P15-Q15</f>
        <v>0</v>
      </c>
      <c r="T15" s="7" t="s">
        <v>15</v>
      </c>
      <c r="U15" s="4" t="s">
        <v>16</v>
      </c>
      <c r="V15" s="24"/>
      <c r="W15" s="19"/>
      <c r="X15" s="16">
        <f>V15-W15</f>
        <v>0</v>
      </c>
    </row>
    <row r="16" spans="1:24" ht="18.75" x14ac:dyDescent="0.3">
      <c r="A16" s="7" t="s">
        <v>17</v>
      </c>
      <c r="B16" s="4" t="s">
        <v>18</v>
      </c>
      <c r="C16" s="24"/>
      <c r="D16" s="22"/>
      <c r="E16" s="19">
        <f>1191.81</f>
        <v>1191.81</v>
      </c>
      <c r="F16" s="16">
        <f t="shared" ref="F16:F17" si="4">D16-E16</f>
        <v>-1191.81</v>
      </c>
      <c r="H16" s="7" t="s">
        <v>17</v>
      </c>
      <c r="I16" s="4" t="s">
        <v>18</v>
      </c>
      <c r="J16" s="24"/>
      <c r="K16" s="19"/>
      <c r="L16" s="16">
        <f t="shared" ref="L16:L17" si="5">J16-K16</f>
        <v>0</v>
      </c>
      <c r="N16" s="7" t="s">
        <v>17</v>
      </c>
      <c r="O16" s="4" t="s">
        <v>18</v>
      </c>
      <c r="P16" s="24"/>
      <c r="Q16" s="19"/>
      <c r="R16" s="16">
        <f t="shared" ref="R16:R17" si="6">P16-Q16</f>
        <v>0</v>
      </c>
      <c r="T16" s="7" t="s">
        <v>17</v>
      </c>
      <c r="U16" s="4" t="s">
        <v>18</v>
      </c>
      <c r="V16" s="24"/>
      <c r="W16" s="19"/>
      <c r="X16" s="16">
        <f t="shared" ref="X16:X17" si="7">V16-W16</f>
        <v>0</v>
      </c>
    </row>
    <row r="17" spans="1:24" ht="18.75" x14ac:dyDescent="0.3">
      <c r="A17" s="7" t="s">
        <v>19</v>
      </c>
      <c r="B17" s="4" t="s">
        <v>20</v>
      </c>
      <c r="C17" s="24"/>
      <c r="D17" s="22"/>
      <c r="E17" s="19">
        <f>596.38</f>
        <v>596.38</v>
      </c>
      <c r="F17" s="16">
        <f t="shared" si="4"/>
        <v>-596.38</v>
      </c>
      <c r="H17" s="7" t="s">
        <v>19</v>
      </c>
      <c r="I17" s="4" t="s">
        <v>20</v>
      </c>
      <c r="J17" s="24"/>
      <c r="K17" s="19"/>
      <c r="L17" s="16">
        <f t="shared" si="5"/>
        <v>0</v>
      </c>
      <c r="N17" s="7" t="s">
        <v>19</v>
      </c>
      <c r="O17" s="4" t="s">
        <v>20</v>
      </c>
      <c r="P17" s="24"/>
      <c r="Q17" s="19"/>
      <c r="R17" s="16">
        <f t="shared" si="6"/>
        <v>0</v>
      </c>
      <c r="T17" s="7" t="s">
        <v>19</v>
      </c>
      <c r="U17" s="4" t="s">
        <v>20</v>
      </c>
      <c r="V17" s="24"/>
      <c r="W17" s="19"/>
      <c r="X17" s="16">
        <f t="shared" si="7"/>
        <v>0</v>
      </c>
    </row>
    <row r="18" spans="1:24" ht="18.75" x14ac:dyDescent="0.3">
      <c r="A18" s="47"/>
      <c r="B18" s="4"/>
      <c r="C18" s="24"/>
      <c r="D18" s="22"/>
      <c r="E18" s="19"/>
      <c r="F18" s="16"/>
      <c r="H18" s="47"/>
      <c r="I18" s="4"/>
      <c r="J18" s="24"/>
      <c r="K18" s="19"/>
      <c r="L18" s="16"/>
      <c r="N18" s="47"/>
      <c r="O18" s="4"/>
      <c r="P18" s="24"/>
      <c r="Q18" s="19"/>
      <c r="R18" s="16"/>
      <c r="T18" s="47"/>
      <c r="U18" s="4"/>
      <c r="V18" s="24"/>
      <c r="W18" s="19"/>
      <c r="X18" s="16"/>
    </row>
    <row r="19" spans="1:24" ht="18.75" x14ac:dyDescent="0.3">
      <c r="A19" s="48" t="s">
        <v>40</v>
      </c>
      <c r="B19" s="4" t="s">
        <v>29</v>
      </c>
      <c r="C19" s="24"/>
      <c r="D19" s="22"/>
      <c r="E19" s="17">
        <f>E20+E21+E22+E23+E24+E25+E26+E27</f>
        <v>3456.0799999999995</v>
      </c>
      <c r="F19" s="15">
        <f t="shared" si="0"/>
        <v>-3456.0799999999995</v>
      </c>
      <c r="H19" s="48" t="s">
        <v>40</v>
      </c>
      <c r="I19" s="4" t="s">
        <v>29</v>
      </c>
      <c r="J19" s="24"/>
      <c r="K19" s="17">
        <f>K20+K21+K22+K23+K24+K25+K26+K27</f>
        <v>771.14</v>
      </c>
      <c r="L19" s="15">
        <f>J19-K19</f>
        <v>-771.14</v>
      </c>
      <c r="N19" s="48" t="s">
        <v>40</v>
      </c>
      <c r="O19" s="4" t="s">
        <v>29</v>
      </c>
      <c r="P19" s="24"/>
      <c r="Q19" s="17"/>
      <c r="R19" s="15">
        <f>P19-Q19</f>
        <v>0</v>
      </c>
      <c r="T19" s="48" t="s">
        <v>40</v>
      </c>
      <c r="U19" s="4" t="s">
        <v>29</v>
      </c>
      <c r="V19" s="24"/>
      <c r="W19" s="17"/>
      <c r="X19" s="15">
        <f>V19-W19</f>
        <v>0</v>
      </c>
    </row>
    <row r="20" spans="1:24" ht="18.75" x14ac:dyDescent="0.3">
      <c r="A20" s="43" t="s">
        <v>21</v>
      </c>
      <c r="B20" s="44" t="s">
        <v>22</v>
      </c>
      <c r="C20" s="45"/>
      <c r="D20" s="22"/>
      <c r="E20" s="49">
        <f>458.15+1764.07</f>
        <v>2222.2199999999998</v>
      </c>
      <c r="F20" s="16">
        <f t="shared" si="0"/>
        <v>-2222.2199999999998</v>
      </c>
      <c r="H20" s="43" t="s">
        <v>21</v>
      </c>
      <c r="I20" s="44" t="s">
        <v>22</v>
      </c>
      <c r="J20" s="45"/>
      <c r="K20" s="49"/>
      <c r="L20" s="16">
        <f t="shared" ref="L20" si="8">J20-K20</f>
        <v>0</v>
      </c>
      <c r="N20" s="43" t="s">
        <v>21</v>
      </c>
      <c r="O20" s="44" t="s">
        <v>22</v>
      </c>
      <c r="P20" s="45"/>
      <c r="Q20" s="49"/>
      <c r="R20" s="16">
        <f t="shared" ref="R20" si="9">P20-Q20</f>
        <v>0</v>
      </c>
      <c r="T20" s="43" t="s">
        <v>21</v>
      </c>
      <c r="U20" s="44" t="s">
        <v>22</v>
      </c>
      <c r="V20" s="45"/>
      <c r="W20" s="49"/>
      <c r="X20" s="16">
        <f t="shared" ref="X20" si="10">V20-W20</f>
        <v>0</v>
      </c>
    </row>
    <row r="21" spans="1:24" ht="18.75" x14ac:dyDescent="0.3">
      <c r="A21" s="43" t="s">
        <v>41</v>
      </c>
      <c r="B21" s="44" t="s">
        <v>30</v>
      </c>
      <c r="C21" s="45"/>
      <c r="D21" s="22"/>
      <c r="E21" s="46"/>
      <c r="F21" s="15"/>
      <c r="H21" s="43" t="s">
        <v>41</v>
      </c>
      <c r="I21" s="44" t="s">
        <v>30</v>
      </c>
      <c r="J21" s="45"/>
      <c r="K21" s="46"/>
      <c r="L21" s="15"/>
      <c r="N21" s="43" t="s">
        <v>41</v>
      </c>
      <c r="O21" s="44" t="s">
        <v>30</v>
      </c>
      <c r="P21" s="45"/>
      <c r="Q21" s="46"/>
      <c r="R21" s="15"/>
      <c r="T21" s="43" t="s">
        <v>41</v>
      </c>
      <c r="U21" s="44" t="s">
        <v>30</v>
      </c>
      <c r="V21" s="45"/>
      <c r="W21" s="46"/>
      <c r="X21" s="15"/>
    </row>
    <row r="22" spans="1:24" ht="18.75" x14ac:dyDescent="0.3">
      <c r="A22" s="43" t="s">
        <v>42</v>
      </c>
      <c r="B22" s="44" t="s">
        <v>31</v>
      </c>
      <c r="C22" s="45"/>
      <c r="D22" s="22"/>
      <c r="E22" s="49"/>
      <c r="F22" s="16">
        <f t="shared" si="0"/>
        <v>0</v>
      </c>
      <c r="H22" s="43" t="s">
        <v>42</v>
      </c>
      <c r="I22" s="44" t="s">
        <v>31</v>
      </c>
      <c r="J22" s="45"/>
      <c r="K22" s="49"/>
      <c r="L22" s="16">
        <f t="shared" ref="L22:L23" si="11">J22-K22</f>
        <v>0</v>
      </c>
      <c r="N22" s="43" t="s">
        <v>42</v>
      </c>
      <c r="O22" s="44" t="s">
        <v>31</v>
      </c>
      <c r="P22" s="45"/>
      <c r="Q22" s="49"/>
      <c r="R22" s="16">
        <f t="shared" ref="R22:R23" si="12">P22-Q22</f>
        <v>0</v>
      </c>
      <c r="T22" s="43" t="s">
        <v>42</v>
      </c>
      <c r="U22" s="44" t="s">
        <v>31</v>
      </c>
      <c r="V22" s="45"/>
      <c r="W22" s="49"/>
      <c r="X22" s="16">
        <f t="shared" ref="X22:X23" si="13">V22-W22</f>
        <v>0</v>
      </c>
    </row>
    <row r="23" spans="1:24" ht="18.75" x14ac:dyDescent="0.3">
      <c r="A23" s="7" t="s">
        <v>23</v>
      </c>
      <c r="B23" s="12" t="s">
        <v>24</v>
      </c>
      <c r="C23" s="21"/>
      <c r="D23" s="22"/>
      <c r="E23" s="19"/>
      <c r="F23" s="16">
        <f t="shared" si="0"/>
        <v>0</v>
      </c>
      <c r="H23" s="7" t="s">
        <v>23</v>
      </c>
      <c r="I23" s="12" t="s">
        <v>24</v>
      </c>
      <c r="J23" s="21"/>
      <c r="K23" s="19"/>
      <c r="L23" s="16">
        <f t="shared" si="11"/>
        <v>0</v>
      </c>
      <c r="N23" s="7" t="s">
        <v>23</v>
      </c>
      <c r="O23" s="12" t="s">
        <v>24</v>
      </c>
      <c r="P23" s="21"/>
      <c r="Q23" s="19"/>
      <c r="R23" s="16">
        <f t="shared" si="12"/>
        <v>0</v>
      </c>
      <c r="T23" s="7" t="s">
        <v>23</v>
      </c>
      <c r="U23" s="12" t="s">
        <v>24</v>
      </c>
      <c r="V23" s="21"/>
      <c r="W23" s="19"/>
      <c r="X23" s="16">
        <f t="shared" si="13"/>
        <v>0</v>
      </c>
    </row>
    <row r="24" spans="1:24" ht="18.75" x14ac:dyDescent="0.3">
      <c r="A24" s="7" t="s">
        <v>32</v>
      </c>
      <c r="B24" s="12" t="s">
        <v>33</v>
      </c>
      <c r="C24" s="24"/>
      <c r="D24" s="22"/>
      <c r="E24" s="19">
        <f>127.87</f>
        <v>127.87</v>
      </c>
      <c r="F24" s="16">
        <f>D24-E24</f>
        <v>-127.87</v>
      </c>
      <c r="H24" s="7" t="s">
        <v>32</v>
      </c>
      <c r="I24" s="12" t="s">
        <v>33</v>
      </c>
      <c r="J24" s="24"/>
      <c r="K24" s="19">
        <f>538.6</f>
        <v>538.6</v>
      </c>
      <c r="L24" s="16">
        <f>J24-K24</f>
        <v>-538.6</v>
      </c>
      <c r="N24" s="7" t="s">
        <v>32</v>
      </c>
      <c r="O24" s="12" t="s">
        <v>33</v>
      </c>
      <c r="P24" s="57">
        <f>(20466.24+57835.48)/1.95583</f>
        <v>40035.033719699568</v>
      </c>
      <c r="Q24" s="19">
        <f>(75239.19+3618.25-555.72)/1.95583</f>
        <v>40035.033719699568</v>
      </c>
      <c r="R24" s="16">
        <f>P24-Q24</f>
        <v>0</v>
      </c>
      <c r="T24" s="7" t="s">
        <v>32</v>
      </c>
      <c r="U24" s="12" t="s">
        <v>33</v>
      </c>
      <c r="V24" s="57">
        <f>(20466.24+57835.48)/1.95583</f>
        <v>40035.033719699568</v>
      </c>
      <c r="W24" s="19"/>
      <c r="X24" s="16">
        <f>V24-W24</f>
        <v>40035.033719699568</v>
      </c>
    </row>
    <row r="25" spans="1:24" ht="18.75" x14ac:dyDescent="0.3">
      <c r="A25" s="7" t="s">
        <v>34</v>
      </c>
      <c r="B25" s="4" t="s">
        <v>35</v>
      </c>
      <c r="C25" s="24"/>
      <c r="D25" s="22"/>
      <c r="E25" s="19">
        <f>124.86+113.84</f>
        <v>238.7</v>
      </c>
      <c r="F25" s="16">
        <f>D25-E25</f>
        <v>-238.7</v>
      </c>
      <c r="H25" s="7" t="s">
        <v>34</v>
      </c>
      <c r="I25" s="4" t="s">
        <v>35</v>
      </c>
      <c r="J25" s="24"/>
      <c r="K25" s="19"/>
      <c r="L25" s="16">
        <f>J25-K25</f>
        <v>0</v>
      </c>
      <c r="N25" s="7" t="s">
        <v>34</v>
      </c>
      <c r="O25" s="4" t="s">
        <v>35</v>
      </c>
      <c r="P25" s="24"/>
      <c r="Q25" s="19"/>
      <c r="R25" s="16">
        <f>P25-Q25</f>
        <v>0</v>
      </c>
      <c r="T25" s="7" t="s">
        <v>34</v>
      </c>
      <c r="U25" s="4" t="s">
        <v>35</v>
      </c>
      <c r="V25" s="24"/>
      <c r="W25" s="19"/>
      <c r="X25" s="16">
        <f>V25-W25</f>
        <v>0</v>
      </c>
    </row>
    <row r="26" spans="1:24" ht="18.75" x14ac:dyDescent="0.3">
      <c r="A26" s="42" t="s">
        <v>44</v>
      </c>
      <c r="B26" s="12" t="s">
        <v>25</v>
      </c>
      <c r="C26" s="24"/>
      <c r="D26" s="22"/>
      <c r="E26" s="19">
        <f>338.11+529.18</f>
        <v>867.29</v>
      </c>
      <c r="F26" s="15">
        <f t="shared" si="0"/>
        <v>-867.29</v>
      </c>
      <c r="H26" s="42" t="s">
        <v>44</v>
      </c>
      <c r="I26" s="12" t="s">
        <v>25</v>
      </c>
      <c r="J26" s="24"/>
      <c r="K26" s="19">
        <f>116.27+116.27</f>
        <v>232.54</v>
      </c>
      <c r="L26" s="15">
        <f t="shared" ref="L26:L28" si="14">J26-K26</f>
        <v>-232.54</v>
      </c>
      <c r="N26" s="42" t="s">
        <v>44</v>
      </c>
      <c r="O26" s="12" t="s">
        <v>25</v>
      </c>
      <c r="P26" s="24"/>
      <c r="Q26" s="19"/>
      <c r="R26" s="15">
        <f t="shared" ref="R26:R34" si="15">P26-Q26</f>
        <v>0</v>
      </c>
      <c r="T26" s="42" t="s">
        <v>44</v>
      </c>
      <c r="U26" s="12" t="s">
        <v>25</v>
      </c>
      <c r="V26" s="24"/>
      <c r="W26" s="19"/>
      <c r="X26" s="15">
        <f t="shared" ref="X26:X31" si="16">V26-W26</f>
        <v>0</v>
      </c>
    </row>
    <row r="27" spans="1:24" ht="18.75" x14ac:dyDescent="0.3">
      <c r="A27" s="42" t="s">
        <v>36</v>
      </c>
      <c r="B27" s="12" t="s">
        <v>37</v>
      </c>
      <c r="C27" s="24"/>
      <c r="D27" s="22"/>
      <c r="E27" s="19"/>
      <c r="F27" s="16">
        <f t="shared" si="0"/>
        <v>0</v>
      </c>
      <c r="H27" s="42" t="s">
        <v>36</v>
      </c>
      <c r="I27" s="12" t="s">
        <v>37</v>
      </c>
      <c r="J27" s="24"/>
      <c r="K27" s="19"/>
      <c r="L27" s="16">
        <f t="shared" si="14"/>
        <v>0</v>
      </c>
      <c r="N27" s="42" t="s">
        <v>36</v>
      </c>
      <c r="O27" s="12" t="s">
        <v>37</v>
      </c>
      <c r="P27" s="57">
        <f>2880/1.95583</f>
        <v>1472.5206178451092</v>
      </c>
      <c r="Q27" s="19">
        <v>1472.52</v>
      </c>
      <c r="R27" s="16">
        <f t="shared" si="15"/>
        <v>6.1784510921825131E-4</v>
      </c>
      <c r="T27" s="42" t="s">
        <v>36</v>
      </c>
      <c r="U27" s="12" t="s">
        <v>37</v>
      </c>
      <c r="V27" s="57">
        <f>2880/1.95583</f>
        <v>1472.5206178451092</v>
      </c>
      <c r="W27" s="19">
        <v>1472.52</v>
      </c>
      <c r="X27" s="16">
        <f t="shared" si="16"/>
        <v>6.1784510921825131E-4</v>
      </c>
    </row>
    <row r="28" spans="1:24" ht="18.75" x14ac:dyDescent="0.3">
      <c r="A28" s="42" t="s">
        <v>45</v>
      </c>
      <c r="B28" s="12" t="s">
        <v>38</v>
      </c>
      <c r="C28" s="24"/>
      <c r="D28" s="22"/>
      <c r="E28" s="19"/>
      <c r="F28" s="16">
        <f t="shared" si="0"/>
        <v>0</v>
      </c>
      <c r="H28" s="42" t="s">
        <v>45</v>
      </c>
      <c r="I28" s="12" t="s">
        <v>38</v>
      </c>
      <c r="J28" s="24"/>
      <c r="K28" s="19"/>
      <c r="L28" s="16">
        <f t="shared" si="14"/>
        <v>0</v>
      </c>
      <c r="N28" s="7" t="s">
        <v>74</v>
      </c>
      <c r="O28" s="12" t="s">
        <v>120</v>
      </c>
      <c r="P28" s="57">
        <f>27137.3/1.95583</f>
        <v>13875.081167586141</v>
      </c>
      <c r="Q28" s="19">
        <f>27137.31/1.95583</f>
        <v>13875.086280504953</v>
      </c>
      <c r="R28" s="16">
        <f t="shared" si="15"/>
        <v>-5.1129188123013591E-3</v>
      </c>
      <c r="T28" s="7" t="s">
        <v>74</v>
      </c>
      <c r="U28" s="12" t="s">
        <v>120</v>
      </c>
      <c r="V28" s="57">
        <f>27137.3/1.95583</f>
        <v>13875.081167586141</v>
      </c>
      <c r="W28" s="19"/>
      <c r="X28" s="16">
        <f t="shared" si="16"/>
        <v>13875.081167586141</v>
      </c>
    </row>
    <row r="29" spans="1:24" ht="18.75" x14ac:dyDescent="0.3">
      <c r="A29" s="42" t="s">
        <v>46</v>
      </c>
      <c r="B29" s="12" t="s">
        <v>49</v>
      </c>
      <c r="C29" s="24"/>
      <c r="D29" s="22"/>
      <c r="E29" s="19"/>
      <c r="F29" s="16"/>
      <c r="H29" s="42" t="s">
        <v>46</v>
      </c>
      <c r="I29" s="12" t="s">
        <v>49</v>
      </c>
      <c r="J29" s="24"/>
      <c r="K29" s="19"/>
      <c r="L29" s="16"/>
      <c r="N29" s="42" t="s">
        <v>132</v>
      </c>
      <c r="O29" s="12" t="s">
        <v>121</v>
      </c>
      <c r="P29" s="57">
        <f>29903.76/1.95583</f>
        <v>15289.54970524023</v>
      </c>
      <c r="Q29" s="19">
        <f>(15310.08+14593.68)/1.95583</f>
        <v>15289.549705240232</v>
      </c>
      <c r="R29" s="16">
        <f t="shared" si="15"/>
        <v>0</v>
      </c>
      <c r="T29" s="42" t="s">
        <v>132</v>
      </c>
      <c r="U29" s="12" t="s">
        <v>121</v>
      </c>
      <c r="V29" s="57">
        <f>29903.76/1.95583</f>
        <v>15289.54970524023</v>
      </c>
      <c r="W29" s="19"/>
      <c r="X29" s="16">
        <f t="shared" si="16"/>
        <v>15289.54970524023</v>
      </c>
    </row>
    <row r="30" spans="1:24" ht="18.75" x14ac:dyDescent="0.3">
      <c r="A30" s="42" t="s">
        <v>47</v>
      </c>
      <c r="B30" s="12" t="s">
        <v>50</v>
      </c>
      <c r="C30" s="24"/>
      <c r="D30" s="22"/>
      <c r="E30" s="19"/>
      <c r="F30" s="16">
        <f t="shared" si="0"/>
        <v>0</v>
      </c>
      <c r="H30" s="42" t="s">
        <v>47</v>
      </c>
      <c r="I30" s="12" t="s">
        <v>50</v>
      </c>
      <c r="J30" s="24"/>
      <c r="K30" s="19"/>
      <c r="L30" s="16">
        <f t="shared" ref="L30:L33" si="17">J30-K30</f>
        <v>0</v>
      </c>
      <c r="N30" s="42" t="s">
        <v>133</v>
      </c>
      <c r="O30" s="12" t="s">
        <v>122</v>
      </c>
      <c r="P30" s="57">
        <f>39744.57/1.95583</f>
        <v>20321.07596263479</v>
      </c>
      <c r="Q30" s="19">
        <f>((31993.41+555.73)/1.95583)+3678.97</f>
        <v>20321.081021919083</v>
      </c>
      <c r="R30" s="16">
        <f t="shared" si="15"/>
        <v>-5.0592842926562298E-3</v>
      </c>
      <c r="T30" s="42" t="s">
        <v>133</v>
      </c>
      <c r="U30" s="12" t="s">
        <v>122</v>
      </c>
      <c r="V30" s="57">
        <f>39744.57/1.95583</f>
        <v>20321.07596263479</v>
      </c>
      <c r="W30" s="19">
        <v>3678.97</v>
      </c>
      <c r="X30" s="16">
        <f t="shared" si="16"/>
        <v>16642.105962634789</v>
      </c>
    </row>
    <row r="31" spans="1:24" ht="18.75" x14ac:dyDescent="0.3">
      <c r="A31" s="7" t="s">
        <v>48</v>
      </c>
      <c r="B31" s="12" t="s">
        <v>51</v>
      </c>
      <c r="C31" s="24"/>
      <c r="D31" s="22"/>
      <c r="E31" s="19"/>
      <c r="F31" s="16">
        <f t="shared" si="0"/>
        <v>0</v>
      </c>
      <c r="H31" s="7" t="s">
        <v>48</v>
      </c>
      <c r="I31" s="12" t="s">
        <v>51</v>
      </c>
      <c r="J31" s="24"/>
      <c r="K31" s="19"/>
      <c r="L31" s="16">
        <f t="shared" si="17"/>
        <v>0</v>
      </c>
      <c r="N31" s="7" t="s">
        <v>48</v>
      </c>
      <c r="O31" s="12" t="s">
        <v>51</v>
      </c>
      <c r="P31" s="24"/>
      <c r="Q31" s="19"/>
      <c r="R31" s="16">
        <f t="shared" si="15"/>
        <v>0</v>
      </c>
      <c r="T31" s="7" t="s">
        <v>48</v>
      </c>
      <c r="U31" s="12" t="s">
        <v>51</v>
      </c>
      <c r="V31" s="24"/>
      <c r="W31" s="19"/>
      <c r="X31" s="16">
        <f t="shared" si="16"/>
        <v>0</v>
      </c>
    </row>
    <row r="32" spans="1:24" ht="18.75" x14ac:dyDescent="0.3">
      <c r="A32" s="7" t="s">
        <v>74</v>
      </c>
      <c r="B32" s="12" t="s">
        <v>72</v>
      </c>
      <c r="C32" s="24"/>
      <c r="D32" s="22"/>
      <c r="E32" s="74"/>
      <c r="F32" s="16">
        <f t="shared" si="0"/>
        <v>0</v>
      </c>
      <c r="H32" s="13" t="s">
        <v>56</v>
      </c>
      <c r="I32" s="12" t="s">
        <v>57</v>
      </c>
      <c r="J32" s="25"/>
      <c r="K32" s="19"/>
      <c r="L32" s="16">
        <f>J32-K34</f>
        <v>-771.14</v>
      </c>
      <c r="N32" s="13" t="s">
        <v>56</v>
      </c>
      <c r="O32" s="12" t="s">
        <v>57</v>
      </c>
      <c r="P32" s="71">
        <f>((88273.22+51909.65+25459.75+3648.4)/1.95583)+5194.42</f>
        <v>91751.544085426649</v>
      </c>
      <c r="Q32" s="19"/>
      <c r="R32" s="16">
        <f>P32-Q34</f>
        <v>758.27335806282645</v>
      </c>
      <c r="T32" s="13" t="s">
        <v>56</v>
      </c>
      <c r="U32" s="12" t="s">
        <v>57</v>
      </c>
      <c r="V32" s="71">
        <v>5194.42</v>
      </c>
      <c r="W32" s="19"/>
      <c r="X32" s="16">
        <f>V32-W34</f>
        <v>42.930000000000291</v>
      </c>
    </row>
    <row r="33" spans="1:24" ht="18.75" x14ac:dyDescent="0.3">
      <c r="A33" s="7" t="s">
        <v>75</v>
      </c>
      <c r="B33" s="12" t="s">
        <v>73</v>
      </c>
      <c r="C33" s="24"/>
      <c r="D33" s="22"/>
      <c r="E33" s="75"/>
      <c r="F33" s="16">
        <f t="shared" si="0"/>
        <v>0</v>
      </c>
      <c r="J33" s="24"/>
      <c r="K33" s="19"/>
      <c r="L33" s="16">
        <f t="shared" si="17"/>
        <v>0</v>
      </c>
      <c r="P33" s="24"/>
      <c r="Q33" s="19"/>
      <c r="R33" s="16">
        <f t="shared" si="15"/>
        <v>0</v>
      </c>
      <c r="V33" s="24"/>
      <c r="W33" s="19"/>
      <c r="X33" s="16">
        <f t="shared" ref="X33:X34" si="18">V33-W33</f>
        <v>0</v>
      </c>
    </row>
    <row r="34" spans="1:24" ht="18.75" x14ac:dyDescent="0.3">
      <c r="A34" s="13" t="s">
        <v>26</v>
      </c>
      <c r="B34" s="12" t="s">
        <v>27</v>
      </c>
      <c r="C34" s="25"/>
      <c r="D34" s="22"/>
      <c r="E34" s="19"/>
      <c r="F34" s="16">
        <f t="shared" si="0"/>
        <v>0</v>
      </c>
      <c r="I34" t="s">
        <v>28</v>
      </c>
      <c r="J34" s="26">
        <f>1660/1.95583</f>
        <v>848.74452278572267</v>
      </c>
      <c r="K34" s="55">
        <f>K6+K7+K13+K19+K30+K31</f>
        <v>771.14</v>
      </c>
      <c r="L34" s="55">
        <f>J34-K34</f>
        <v>77.604522785722679</v>
      </c>
      <c r="N34" t="s">
        <v>136</v>
      </c>
      <c r="O34" t="s">
        <v>28</v>
      </c>
      <c r="P34" s="55">
        <f>180758.65/1.95583</f>
        <v>92420.430200988834</v>
      </c>
      <c r="Q34" s="55">
        <f>Q6+Q24+Q27+Q28+Q29+Q307+Q13+Q19+Q30+Q31</f>
        <v>90993.270727363823</v>
      </c>
      <c r="R34" s="85">
        <f t="shared" si="15"/>
        <v>1427.1594736250117</v>
      </c>
      <c r="T34" t="s">
        <v>136</v>
      </c>
      <c r="U34" t="s">
        <v>28</v>
      </c>
      <c r="V34" s="55">
        <f>180758.65/1.95583</f>
        <v>92420.430200988834</v>
      </c>
      <c r="W34" s="55">
        <f>W6+W24+W27+W28+W29+W307+W13+W19+W30+W31</f>
        <v>5151.49</v>
      </c>
      <c r="X34" s="85">
        <f t="shared" si="18"/>
        <v>87268.940200988829</v>
      </c>
    </row>
    <row r="35" spans="1:24" ht="18.75" x14ac:dyDescent="0.3">
      <c r="C35" s="24"/>
      <c r="D35" s="24"/>
      <c r="E35" s="19"/>
      <c r="F35" s="16">
        <f t="shared" si="0"/>
        <v>0</v>
      </c>
      <c r="J35" s="50"/>
      <c r="K35" s="20"/>
      <c r="N35" t="s">
        <v>135</v>
      </c>
      <c r="P35" s="55">
        <f>((114876.54+60210.8)/1.95583)+1472.52</f>
        <v>90993.25544224192</v>
      </c>
      <c r="Q35" s="20"/>
      <c r="T35" t="s">
        <v>135</v>
      </c>
      <c r="V35" s="55">
        <f>((114876.54+60210.8)/1.95583)+1472.52</f>
        <v>90993.25544224192</v>
      </c>
      <c r="W35" s="20"/>
    </row>
    <row r="36" spans="1:24" ht="18.75" x14ac:dyDescent="0.3">
      <c r="B36" t="s">
        <v>28</v>
      </c>
      <c r="C36" s="26">
        <f>C6+C7+C13+C19+C30+C31+C32+C33</f>
        <v>0</v>
      </c>
      <c r="D36" s="26">
        <f>D6+D7+D13+D19+D30+D31+D32+D33</f>
        <v>0</v>
      </c>
      <c r="E36" s="55">
        <f>E6+E7+E13+E19+E30+E31+E33</f>
        <v>34181.72</v>
      </c>
      <c r="F36" s="55">
        <f>F6+F7+F13+F19+F30+F31+F32+F33</f>
        <v>-34181.72</v>
      </c>
      <c r="H36" s="1" t="s">
        <v>53</v>
      </c>
      <c r="J36" s="50"/>
      <c r="K36" s="56" t="s">
        <v>54</v>
      </c>
      <c r="N36" s="1" t="s">
        <v>53</v>
      </c>
      <c r="P36" s="50"/>
      <c r="Q36" s="56" t="s">
        <v>54</v>
      </c>
      <c r="T36" s="1" t="s">
        <v>53</v>
      </c>
      <c r="V36" s="50"/>
      <c r="W36" s="56" t="s">
        <v>54</v>
      </c>
    </row>
    <row r="37" spans="1:24" ht="18" x14ac:dyDescent="0.25">
      <c r="C37" s="50"/>
      <c r="D37" s="50"/>
      <c r="E37" s="20"/>
      <c r="J37" s="50"/>
      <c r="K37" s="20"/>
      <c r="P37" s="50"/>
      <c r="Q37" s="20"/>
      <c r="V37" s="50"/>
      <c r="W37" s="20"/>
    </row>
    <row r="38" spans="1:24" s="28" customFormat="1" ht="18.75" x14ac:dyDescent="0.3">
      <c r="A38" s="1" t="s">
        <v>53</v>
      </c>
      <c r="B38"/>
      <c r="C38" s="50"/>
      <c r="D38" s="50"/>
      <c r="E38" s="56" t="s">
        <v>54</v>
      </c>
      <c r="F38"/>
      <c r="K38" s="29"/>
      <c r="Q38" s="29"/>
      <c r="W38" s="29"/>
    </row>
    <row r="39" spans="1:24" s="28" customFormat="1" ht="21" x14ac:dyDescent="0.35">
      <c r="A39"/>
      <c r="B39"/>
      <c r="C39" s="50"/>
      <c r="D39" s="50"/>
      <c r="E39" s="20"/>
      <c r="F39"/>
      <c r="H39" s="92"/>
      <c r="I39" s="92"/>
      <c r="J39" s="30"/>
      <c r="K39" s="31"/>
      <c r="L39" s="32"/>
      <c r="N39" s="92"/>
      <c r="O39" s="92"/>
      <c r="P39" s="30"/>
      <c r="Q39" s="31"/>
      <c r="R39" s="32"/>
      <c r="T39" s="92"/>
      <c r="U39" s="92"/>
      <c r="V39" s="30"/>
      <c r="W39" s="31"/>
      <c r="X39" s="32"/>
    </row>
    <row r="40" spans="1:24" s="28" customFormat="1" ht="18" x14ac:dyDescent="0.25">
      <c r="E40" s="29"/>
      <c r="I40" s="27"/>
      <c r="J40" s="33"/>
      <c r="K40" s="34"/>
      <c r="L40" s="35"/>
      <c r="O40" s="27"/>
      <c r="P40" s="33"/>
      <c r="Q40" s="34"/>
      <c r="R40" s="35"/>
      <c r="U40" s="27"/>
      <c r="V40" s="33"/>
      <c r="W40" s="34"/>
      <c r="X40" s="35"/>
    </row>
    <row r="41" spans="1:24" s="28" customFormat="1" ht="21.75" customHeight="1" x14ac:dyDescent="0.35">
      <c r="A41" s="92"/>
      <c r="B41" s="92"/>
      <c r="C41" s="30">
        <f>C34-809</f>
        <v>-809</v>
      </c>
      <c r="D41" s="79">
        <v>809</v>
      </c>
      <c r="E41" s="93" t="s">
        <v>144</v>
      </c>
      <c r="F41" s="93"/>
      <c r="I41" s="27"/>
      <c r="J41" s="36"/>
      <c r="K41" s="37"/>
      <c r="L41" s="35"/>
      <c r="O41" s="27"/>
      <c r="P41" s="36"/>
      <c r="Q41" s="37"/>
      <c r="R41" s="35"/>
      <c r="U41" s="27"/>
      <c r="V41" s="36"/>
      <c r="W41" s="37"/>
      <c r="X41" s="35"/>
    </row>
    <row r="42" spans="1:24" s="28" customFormat="1" ht="18" x14ac:dyDescent="0.25">
      <c r="B42" s="27"/>
      <c r="C42" s="33"/>
      <c r="D42" s="77">
        <v>2122.44</v>
      </c>
      <c r="E42" s="34" t="s">
        <v>140</v>
      </c>
      <c r="F42" s="35"/>
      <c r="I42" s="27"/>
      <c r="J42" s="36"/>
      <c r="K42" s="37"/>
      <c r="L42" s="35"/>
      <c r="O42" s="27"/>
      <c r="P42" s="36"/>
      <c r="Q42" s="37"/>
      <c r="R42" s="35"/>
      <c r="U42" s="27"/>
      <c r="V42" s="36"/>
      <c r="W42" s="37"/>
      <c r="X42" s="35"/>
    </row>
    <row r="43" spans="1:24" s="28" customFormat="1" ht="18" x14ac:dyDescent="0.25">
      <c r="B43" s="27"/>
      <c r="C43" s="36"/>
      <c r="D43" s="33">
        <v>1632</v>
      </c>
      <c r="E43" s="34" t="s">
        <v>141</v>
      </c>
      <c r="F43" s="35"/>
      <c r="I43" s="27"/>
      <c r="J43" s="36"/>
      <c r="K43" s="37"/>
      <c r="L43" s="35"/>
      <c r="O43" s="27"/>
      <c r="P43" s="36"/>
      <c r="Q43" s="37"/>
      <c r="R43" s="35"/>
      <c r="U43" s="27"/>
      <c r="V43" s="36"/>
      <c r="W43" s="37"/>
      <c r="X43" s="35"/>
    </row>
    <row r="44" spans="1:24" s="39" customFormat="1" ht="18" x14ac:dyDescent="0.25">
      <c r="C44" s="33"/>
      <c r="D44" s="33">
        <v>7225</v>
      </c>
      <c r="E44" s="34" t="s">
        <v>143</v>
      </c>
      <c r="F44" s="35"/>
      <c r="I44" s="78"/>
      <c r="J44" s="33"/>
      <c r="K44" s="34"/>
      <c r="L44" s="35"/>
      <c r="O44" s="78"/>
      <c r="P44" s="33"/>
      <c r="Q44" s="34"/>
      <c r="R44" s="35"/>
      <c r="U44" s="78"/>
      <c r="V44" s="33"/>
      <c r="W44" s="34"/>
      <c r="X44" s="35"/>
    </row>
    <row r="45" spans="1:24" s="28" customFormat="1" ht="18" x14ac:dyDescent="0.25">
      <c r="C45" s="36"/>
      <c r="D45" s="77">
        <v>987.17</v>
      </c>
      <c r="E45" s="34" t="s">
        <v>145</v>
      </c>
      <c r="F45" s="35"/>
      <c r="I45" s="27"/>
      <c r="J45" s="36"/>
      <c r="K45" s="37"/>
      <c r="L45" s="35"/>
      <c r="O45" s="27"/>
      <c r="P45" s="36"/>
      <c r="Q45" s="37"/>
      <c r="R45" s="35"/>
      <c r="U45" s="27"/>
      <c r="V45" s="36"/>
      <c r="W45" s="37"/>
      <c r="X45" s="35"/>
    </row>
    <row r="46" spans="1:24" s="28" customFormat="1" ht="18" x14ac:dyDescent="0.25">
      <c r="C46" s="36"/>
      <c r="D46" s="80">
        <v>298.57</v>
      </c>
      <c r="E46" s="37" t="s">
        <v>152</v>
      </c>
      <c r="F46" s="35"/>
      <c r="I46" s="27"/>
      <c r="J46" s="36"/>
      <c r="K46" s="37"/>
      <c r="L46" s="35"/>
      <c r="O46" s="27"/>
      <c r="P46" s="36"/>
      <c r="Q46" s="37"/>
      <c r="R46" s="35"/>
      <c r="U46" s="27"/>
      <c r="V46" s="36"/>
      <c r="W46" s="37"/>
      <c r="X46" s="35"/>
    </row>
    <row r="47" spans="1:24" s="28" customFormat="1" ht="18" x14ac:dyDescent="0.25">
      <c r="C47" s="36"/>
      <c r="D47" s="36"/>
      <c r="E47" s="37"/>
      <c r="F47" s="35"/>
      <c r="I47" s="27"/>
      <c r="J47" s="36"/>
      <c r="K47" s="37"/>
      <c r="L47" s="35"/>
      <c r="O47" s="27"/>
      <c r="P47" s="36"/>
      <c r="Q47" s="37"/>
      <c r="R47" s="35"/>
      <c r="U47" s="27"/>
      <c r="V47" s="36"/>
      <c r="W47" s="37"/>
      <c r="X47" s="35"/>
    </row>
    <row r="48" spans="1:24" s="28" customFormat="1" ht="18" x14ac:dyDescent="0.25">
      <c r="B48" s="78">
        <v>809</v>
      </c>
      <c r="C48" s="36"/>
      <c r="D48" s="36"/>
      <c r="E48" s="37"/>
      <c r="F48" s="35"/>
      <c r="I48" s="27"/>
      <c r="J48" s="36"/>
      <c r="K48" s="37"/>
      <c r="L48" s="35"/>
      <c r="O48" s="27"/>
      <c r="P48" s="36"/>
      <c r="Q48" s="37"/>
      <c r="R48" s="35"/>
      <c r="U48" s="27"/>
      <c r="V48" s="36"/>
      <c r="W48" s="37"/>
      <c r="X48" s="35"/>
    </row>
    <row r="49" spans="1:24" s="28" customFormat="1" ht="18" x14ac:dyDescent="0.25">
      <c r="B49" s="27">
        <v>2122.44</v>
      </c>
      <c r="C49" s="36"/>
      <c r="D49" s="36"/>
      <c r="E49" s="37"/>
      <c r="F49" s="35"/>
      <c r="I49" s="27"/>
      <c r="J49" s="36"/>
      <c r="K49" s="37"/>
      <c r="L49" s="35"/>
      <c r="O49" s="27"/>
      <c r="P49" s="36"/>
      <c r="Q49" s="37"/>
      <c r="R49" s="35"/>
      <c r="U49" s="27"/>
      <c r="V49" s="36"/>
      <c r="W49" s="37"/>
      <c r="X49" s="35"/>
    </row>
    <row r="50" spans="1:24" s="28" customFormat="1" ht="18" x14ac:dyDescent="0.25">
      <c r="B50" s="27">
        <v>987.17</v>
      </c>
      <c r="C50" s="36"/>
      <c r="D50" s="36"/>
      <c r="E50" s="37"/>
      <c r="F50" s="35"/>
      <c r="I50" s="27"/>
      <c r="J50" s="36"/>
      <c r="K50" s="37"/>
      <c r="L50" s="35"/>
      <c r="O50" s="27"/>
      <c r="P50" s="36"/>
      <c r="Q50" s="37"/>
      <c r="R50" s="35"/>
      <c r="U50" s="27"/>
      <c r="V50" s="36"/>
      <c r="W50" s="37"/>
      <c r="X50" s="35"/>
    </row>
    <row r="51" spans="1:24" s="28" customFormat="1" ht="18" x14ac:dyDescent="0.25">
      <c r="B51" s="27">
        <v>7225</v>
      </c>
      <c r="C51" s="36"/>
      <c r="D51" s="36"/>
      <c r="E51" s="37"/>
      <c r="F51" s="35"/>
      <c r="I51" s="27"/>
      <c r="J51" s="36"/>
      <c r="K51" s="37"/>
      <c r="L51" s="35"/>
      <c r="O51" s="27"/>
      <c r="P51" s="36"/>
      <c r="Q51" s="37"/>
      <c r="R51" s="35"/>
      <c r="U51" s="27"/>
      <c r="V51" s="36"/>
      <c r="W51" s="37"/>
      <c r="X51" s="35"/>
    </row>
    <row r="52" spans="1:24" s="28" customFormat="1" ht="18" x14ac:dyDescent="0.25">
      <c r="B52" s="27">
        <v>1632</v>
      </c>
      <c r="C52" s="36"/>
      <c r="D52" s="36"/>
      <c r="E52" s="37"/>
      <c r="F52" s="35"/>
      <c r="I52" s="27"/>
      <c r="J52" s="36"/>
      <c r="K52" s="37"/>
      <c r="L52" s="35"/>
      <c r="O52" s="27"/>
      <c r="P52" s="36"/>
      <c r="Q52" s="37"/>
      <c r="R52" s="35"/>
      <c r="U52" s="27"/>
      <c r="V52" s="36"/>
      <c r="W52" s="37"/>
      <c r="X52" s="35"/>
    </row>
    <row r="53" spans="1:24" s="28" customFormat="1" ht="18" x14ac:dyDescent="0.25">
      <c r="B53" s="27">
        <v>23984</v>
      </c>
      <c r="C53" s="36"/>
      <c r="D53" s="36"/>
      <c r="E53" s="37"/>
      <c r="F53" s="35"/>
      <c r="J53" s="33"/>
      <c r="K53" s="34"/>
      <c r="L53" s="35"/>
      <c r="P53" s="33"/>
      <c r="Q53" s="34"/>
      <c r="R53" s="35"/>
      <c r="V53" s="33"/>
      <c r="W53" s="34"/>
      <c r="X53" s="35"/>
    </row>
    <row r="54" spans="1:24" s="28" customFormat="1" ht="18" x14ac:dyDescent="0.25">
      <c r="B54" s="27">
        <v>3522.56</v>
      </c>
      <c r="C54" s="36"/>
      <c r="D54" s="36"/>
      <c r="E54" s="37"/>
      <c r="F54" s="35"/>
      <c r="J54" s="35"/>
      <c r="K54" s="34"/>
      <c r="L54" s="35"/>
      <c r="P54" s="35"/>
      <c r="Q54" s="34"/>
      <c r="R54" s="35"/>
      <c r="V54" s="35"/>
      <c r="W54" s="34"/>
      <c r="X54" s="35"/>
    </row>
    <row r="55" spans="1:24" s="28" customFormat="1" ht="18" x14ac:dyDescent="0.25">
      <c r="B55" s="27">
        <v>7331.03</v>
      </c>
      <c r="C55" s="33"/>
      <c r="D55" s="33"/>
      <c r="E55" s="34"/>
      <c r="F55" s="35"/>
      <c r="J55" s="35"/>
      <c r="K55" s="34"/>
      <c r="L55" s="35"/>
      <c r="P55" s="35"/>
      <c r="Q55" s="34"/>
      <c r="R55" s="35"/>
      <c r="V55" s="35"/>
      <c r="W55" s="34"/>
      <c r="X55" s="35"/>
    </row>
    <row r="56" spans="1:24" s="28" customFormat="1" ht="18" x14ac:dyDescent="0.25">
      <c r="B56" s="27">
        <f>SUM(B48:B55)</f>
        <v>47613.2</v>
      </c>
      <c r="C56" s="35"/>
      <c r="D56" s="35"/>
      <c r="E56" s="34"/>
      <c r="F56" s="35"/>
      <c r="H56" s="39"/>
      <c r="J56" s="40"/>
      <c r="K56" s="27"/>
      <c r="N56" s="39"/>
      <c r="P56" s="40"/>
      <c r="Q56" s="27"/>
      <c r="T56" s="39"/>
      <c r="V56" s="40"/>
      <c r="W56" s="27"/>
    </row>
    <row r="57" spans="1:24" s="28" customFormat="1" ht="18" x14ac:dyDescent="0.25">
      <c r="B57" s="27"/>
      <c r="C57" s="35"/>
      <c r="D57" s="35"/>
      <c r="E57" s="34"/>
      <c r="F57" s="35"/>
      <c r="J57" s="41"/>
      <c r="K57" s="41"/>
      <c r="P57" s="41"/>
      <c r="Q57" s="41"/>
      <c r="V57" s="41"/>
      <c r="W57" s="41"/>
    </row>
    <row r="58" spans="1:24" s="28" customFormat="1" ht="18" x14ac:dyDescent="0.25">
      <c r="A58" s="39"/>
      <c r="B58" s="40">
        <f>D36-B56</f>
        <v>-47613.2</v>
      </c>
      <c r="C58" s="40"/>
      <c r="D58" s="40"/>
      <c r="E58" s="27"/>
      <c r="H58" s="38"/>
      <c r="I58" s="27"/>
      <c r="J58" s="27"/>
      <c r="K58" s="27"/>
      <c r="N58" s="38"/>
      <c r="O58" s="27"/>
      <c r="P58" s="27"/>
      <c r="Q58" s="27"/>
      <c r="T58" s="38"/>
      <c r="U58" s="27"/>
      <c r="V58" s="27"/>
      <c r="W58" s="27"/>
    </row>
    <row r="59" spans="1:24" s="28" customFormat="1" ht="18" x14ac:dyDescent="0.25">
      <c r="C59" s="41"/>
      <c r="D59" s="41"/>
      <c r="E59" s="41"/>
      <c r="I59" s="27"/>
      <c r="J59" s="27"/>
      <c r="K59" s="27"/>
      <c r="O59" s="27"/>
      <c r="P59" s="27"/>
      <c r="Q59" s="27"/>
      <c r="U59" s="27"/>
      <c r="V59" s="27"/>
      <c r="W59" s="27"/>
    </row>
    <row r="60" spans="1:24" s="28" customFormat="1" ht="18" x14ac:dyDescent="0.25">
      <c r="A60" s="38"/>
      <c r="B60" s="27"/>
      <c r="C60" s="27"/>
      <c r="D60" s="27"/>
      <c r="E60" s="27"/>
      <c r="I60" s="27"/>
      <c r="J60" s="27"/>
      <c r="K60" s="27"/>
      <c r="O60" s="27"/>
      <c r="P60" s="27"/>
      <c r="Q60" s="27"/>
      <c r="U60" s="27"/>
      <c r="V60" s="27"/>
      <c r="W60" s="27"/>
    </row>
    <row r="61" spans="1:24" s="28" customFormat="1" ht="18" x14ac:dyDescent="0.25">
      <c r="B61" s="27"/>
      <c r="C61" s="27"/>
      <c r="D61" s="27"/>
      <c r="E61" s="27"/>
      <c r="H61" s="38"/>
      <c r="I61" s="27"/>
      <c r="J61" s="27"/>
      <c r="K61" s="27"/>
      <c r="N61" s="38"/>
      <c r="O61" s="27"/>
      <c r="P61" s="27"/>
      <c r="Q61" s="27"/>
      <c r="T61" s="38"/>
      <c r="U61" s="27"/>
      <c r="V61" s="27"/>
      <c r="W61" s="27"/>
    </row>
    <row r="62" spans="1:24" s="28" customFormat="1" ht="18" x14ac:dyDescent="0.25">
      <c r="B62" s="27"/>
      <c r="C62" s="27"/>
      <c r="D62" s="27"/>
      <c r="E62" s="27"/>
      <c r="H62" s="38"/>
      <c r="I62" s="27"/>
      <c r="J62" s="27"/>
      <c r="K62" s="27"/>
      <c r="N62" s="38"/>
      <c r="O62" s="27"/>
      <c r="P62" s="27"/>
      <c r="Q62" s="27"/>
      <c r="T62" s="38"/>
      <c r="U62" s="27"/>
      <c r="V62" s="27"/>
      <c r="W62" s="27"/>
    </row>
    <row r="63" spans="1:24" s="28" customFormat="1" ht="18" x14ac:dyDescent="0.25">
      <c r="A63" s="38"/>
      <c r="B63" s="27"/>
      <c r="C63" s="27"/>
      <c r="D63" s="27"/>
      <c r="E63" s="27"/>
      <c r="H63" s="38"/>
      <c r="I63" s="27"/>
      <c r="J63" s="27"/>
      <c r="K63" s="27"/>
      <c r="N63" s="38"/>
      <c r="O63" s="27"/>
      <c r="P63" s="27"/>
      <c r="Q63" s="27"/>
      <c r="T63" s="38"/>
      <c r="U63" s="27"/>
      <c r="V63" s="27"/>
      <c r="W63" s="27"/>
    </row>
    <row r="64" spans="1:24" s="28" customFormat="1" ht="18" x14ac:dyDescent="0.25">
      <c r="A64" s="38"/>
      <c r="B64" s="27"/>
      <c r="C64" s="27"/>
      <c r="D64" s="27"/>
      <c r="E64" s="27"/>
      <c r="H64" s="38"/>
      <c r="I64" s="27"/>
      <c r="J64" s="27"/>
      <c r="K64" s="27"/>
      <c r="N64" s="38"/>
      <c r="O64" s="27"/>
      <c r="P64" s="27"/>
      <c r="Q64" s="27"/>
      <c r="T64" s="38"/>
      <c r="U64" s="27"/>
      <c r="V64" s="27"/>
      <c r="W64" s="27"/>
    </row>
    <row r="65" spans="1:6" s="28" customFormat="1" ht="18" x14ac:dyDescent="0.25">
      <c r="A65" s="38"/>
      <c r="B65" s="27"/>
      <c r="C65" s="27"/>
      <c r="D65" s="27"/>
      <c r="E65" s="27"/>
    </row>
    <row r="66" spans="1:6" ht="18" x14ac:dyDescent="0.25">
      <c r="A66" s="38"/>
      <c r="B66" s="27"/>
      <c r="C66" s="27"/>
      <c r="D66" s="27"/>
      <c r="E66" s="27"/>
      <c r="F66" s="28"/>
    </row>
    <row r="67" spans="1:6" x14ac:dyDescent="0.25">
      <c r="A67" s="28"/>
      <c r="B67" s="28"/>
      <c r="C67" s="28"/>
      <c r="D67" s="28"/>
      <c r="E67" s="28"/>
      <c r="F67" s="28"/>
    </row>
  </sheetData>
  <mergeCells count="13">
    <mergeCell ref="A41:B41"/>
    <mergeCell ref="H5:I5"/>
    <mergeCell ref="N5:O5"/>
    <mergeCell ref="H6:H7"/>
    <mergeCell ref="N6:N7"/>
    <mergeCell ref="H39:I39"/>
    <mergeCell ref="N39:O39"/>
    <mergeCell ref="E41:F41"/>
    <mergeCell ref="T5:U5"/>
    <mergeCell ref="T6:T7"/>
    <mergeCell ref="T39:U39"/>
    <mergeCell ref="A5:B5"/>
    <mergeCell ref="A6:A7"/>
  </mergeCells>
  <pageMargins left="0.9055118110236221" right="0.70866141732283472" top="0.74803149606299213" bottom="0.74803149606299213" header="0.31496062992125984" footer="0.31496062992125984"/>
  <pageSetup paperSize="9" scale="86" orientation="portrait" r:id="rId1"/>
  <colBreaks count="1" manualBreakCount="1">
    <brk id="6" max="39" man="1"/>
  </colBreak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67"/>
  <sheetViews>
    <sheetView tabSelected="1" zoomScale="80" zoomScaleNormal="80" workbookViewId="0">
      <selection activeCell="J32" sqref="J32"/>
    </sheetView>
  </sheetViews>
  <sheetFormatPr defaultRowHeight="15" x14ac:dyDescent="0.25"/>
  <cols>
    <col min="1" max="1" width="27.5703125" customWidth="1"/>
    <col min="2" max="2" width="11.5703125" customWidth="1"/>
    <col min="3" max="3" width="13.140625" customWidth="1"/>
    <col min="4" max="4" width="14.42578125" customWidth="1"/>
    <col min="5" max="5" width="15" customWidth="1"/>
    <col min="6" max="6" width="16" customWidth="1"/>
    <col min="7" max="7" width="7.7109375" customWidth="1"/>
    <col min="8" max="8" width="28.85546875" customWidth="1"/>
    <col min="9" max="9" width="11.42578125" customWidth="1"/>
    <col min="10" max="10" width="14.28515625" customWidth="1"/>
    <col min="11" max="11" width="15" customWidth="1"/>
    <col min="12" max="12" width="14.5703125" customWidth="1"/>
    <col min="14" max="14" width="28.85546875" customWidth="1"/>
    <col min="15" max="15" width="11.42578125" customWidth="1"/>
    <col min="16" max="16" width="16.28515625" customWidth="1"/>
    <col min="17" max="17" width="15" customWidth="1"/>
    <col min="18" max="18" width="14.5703125" customWidth="1"/>
    <col min="20" max="20" width="28.85546875" customWidth="1"/>
    <col min="21" max="21" width="11.42578125" customWidth="1"/>
    <col min="22" max="22" width="16.28515625" customWidth="1"/>
    <col min="23" max="23" width="15" customWidth="1"/>
    <col min="24" max="24" width="14.5703125" customWidth="1"/>
  </cols>
  <sheetData>
    <row r="1" spans="1:24" ht="18.75" x14ac:dyDescent="0.3">
      <c r="B1" s="1" t="s">
        <v>157</v>
      </c>
      <c r="C1" s="1"/>
      <c r="D1" s="1"/>
      <c r="E1" s="1"/>
      <c r="I1" s="1" t="s">
        <v>158</v>
      </c>
      <c r="K1" s="1"/>
      <c r="O1" s="1" t="s">
        <v>119</v>
      </c>
      <c r="Q1" s="1"/>
      <c r="U1" s="1" t="s">
        <v>163</v>
      </c>
      <c r="W1" s="1"/>
    </row>
    <row r="2" spans="1:24" ht="18.75" x14ac:dyDescent="0.3">
      <c r="B2" s="1" t="s">
        <v>52</v>
      </c>
      <c r="C2" s="1"/>
      <c r="D2" s="1"/>
      <c r="E2" s="1"/>
      <c r="I2" s="1" t="s">
        <v>52</v>
      </c>
      <c r="K2" s="1"/>
      <c r="O2" s="1" t="s">
        <v>52</v>
      </c>
      <c r="Q2" s="1"/>
      <c r="U2" s="1" t="s">
        <v>52</v>
      </c>
      <c r="W2" s="1"/>
    </row>
    <row r="3" spans="1:24" ht="18.75" x14ac:dyDescent="0.3">
      <c r="B3" s="1"/>
      <c r="C3" s="1"/>
      <c r="D3" s="1"/>
      <c r="E3" s="1"/>
      <c r="I3" s="1"/>
      <c r="J3" s="1"/>
      <c r="K3" s="1"/>
      <c r="O3" s="1"/>
      <c r="P3" s="1"/>
      <c r="Q3" s="1"/>
      <c r="U3" s="1"/>
      <c r="V3" s="1"/>
      <c r="W3" s="1"/>
    </row>
    <row r="4" spans="1:24" ht="19.5" thickBot="1" x14ac:dyDescent="0.35">
      <c r="F4" s="1"/>
      <c r="L4" s="1"/>
      <c r="R4" s="1"/>
      <c r="X4" s="1"/>
    </row>
    <row r="5" spans="1:24" ht="63.75" thickBot="1" x14ac:dyDescent="0.4">
      <c r="A5" s="88" t="s">
        <v>62</v>
      </c>
      <c r="B5" s="89"/>
      <c r="C5" s="8" t="s">
        <v>153</v>
      </c>
      <c r="D5" s="8" t="s">
        <v>154</v>
      </c>
      <c r="E5" s="58" t="s">
        <v>164</v>
      </c>
      <c r="F5" s="10" t="s">
        <v>39</v>
      </c>
      <c r="H5" s="88" t="s">
        <v>43</v>
      </c>
      <c r="I5" s="89"/>
      <c r="J5" s="8" t="s">
        <v>156</v>
      </c>
      <c r="K5" s="58" t="s">
        <v>164</v>
      </c>
      <c r="L5" s="10" t="s">
        <v>39</v>
      </c>
      <c r="N5" s="88" t="s">
        <v>43</v>
      </c>
      <c r="O5" s="89"/>
      <c r="P5" s="8" t="s">
        <v>162</v>
      </c>
      <c r="Q5" s="58" t="s">
        <v>164</v>
      </c>
      <c r="R5" s="10" t="s">
        <v>39</v>
      </c>
      <c r="T5" s="88" t="s">
        <v>43</v>
      </c>
      <c r="U5" s="89"/>
      <c r="V5" s="8" t="s">
        <v>162</v>
      </c>
      <c r="W5" s="58" t="s">
        <v>164</v>
      </c>
      <c r="X5" s="10" t="s">
        <v>39</v>
      </c>
    </row>
    <row r="6" spans="1:24" ht="18.75" x14ac:dyDescent="0.3">
      <c r="A6" s="90" t="s">
        <v>0</v>
      </c>
      <c r="B6" s="11" t="s">
        <v>1</v>
      </c>
      <c r="C6" s="22"/>
      <c r="D6" s="22"/>
      <c r="E6" s="18">
        <f>24425.64+26913.61</f>
        <v>51339.25</v>
      </c>
      <c r="F6" s="14">
        <f>D6-E6</f>
        <v>-51339.25</v>
      </c>
      <c r="H6" s="90" t="s">
        <v>0</v>
      </c>
      <c r="I6" s="11" t="s">
        <v>1</v>
      </c>
      <c r="J6" s="22"/>
      <c r="K6" s="18"/>
      <c r="L6" s="14">
        <f>J6-K6</f>
        <v>0</v>
      </c>
      <c r="N6" s="90" t="s">
        <v>0</v>
      </c>
      <c r="O6" s="11" t="s">
        <v>1</v>
      </c>
      <c r="P6" s="22"/>
      <c r="Q6" s="18"/>
      <c r="R6" s="14">
        <f>P6-Q6</f>
        <v>0</v>
      </c>
      <c r="T6" s="90" t="s">
        <v>0</v>
      </c>
      <c r="U6" s="11" t="s">
        <v>1</v>
      </c>
      <c r="V6" s="22"/>
      <c r="W6" s="18"/>
      <c r="X6" s="14">
        <f>V6-W6</f>
        <v>0</v>
      </c>
    </row>
    <row r="7" spans="1:24" ht="18.75" x14ac:dyDescent="0.3">
      <c r="A7" s="91"/>
      <c r="B7" s="3" t="s">
        <v>2</v>
      </c>
      <c r="C7" s="23"/>
      <c r="D7" s="22"/>
      <c r="E7" s="17">
        <f>E8+E9+E10+E11</f>
        <v>1262.1100000000001</v>
      </c>
      <c r="F7" s="15">
        <f t="shared" ref="F7:F35" si="0">D7-E7</f>
        <v>-1262.1100000000001</v>
      </c>
      <c r="H7" s="91"/>
      <c r="I7" s="3" t="s">
        <v>2</v>
      </c>
      <c r="J7" s="23"/>
      <c r="K7" s="17"/>
      <c r="L7" s="15">
        <f t="shared" ref="L7:L11" si="1">J7-K7</f>
        <v>0</v>
      </c>
      <c r="N7" s="91"/>
      <c r="O7" s="3" t="s">
        <v>2</v>
      </c>
      <c r="P7" s="23"/>
      <c r="Q7" s="17"/>
      <c r="R7" s="15">
        <f t="shared" ref="R7:R11" si="2">P7-Q7</f>
        <v>0</v>
      </c>
      <c r="T7" s="91"/>
      <c r="U7" s="3" t="s">
        <v>2</v>
      </c>
      <c r="V7" s="23"/>
      <c r="W7" s="17"/>
      <c r="X7" s="15">
        <f t="shared" ref="X7:X11" si="3">V7-W7</f>
        <v>0</v>
      </c>
    </row>
    <row r="8" spans="1:24" ht="18.75" x14ac:dyDescent="0.3">
      <c r="A8" s="7" t="s">
        <v>3</v>
      </c>
      <c r="B8" s="4" t="s">
        <v>4</v>
      </c>
      <c r="C8" s="24"/>
      <c r="D8" s="22"/>
      <c r="E8" s="19"/>
      <c r="F8" s="16">
        <f t="shared" si="0"/>
        <v>0</v>
      </c>
      <c r="H8" s="7" t="s">
        <v>3</v>
      </c>
      <c r="I8" s="4" t="s">
        <v>4</v>
      </c>
      <c r="J8" s="24"/>
      <c r="K8" s="19"/>
      <c r="L8" s="16">
        <f t="shared" si="1"/>
        <v>0</v>
      </c>
      <c r="N8" s="7" t="s">
        <v>3</v>
      </c>
      <c r="O8" s="4" t="s">
        <v>4</v>
      </c>
      <c r="P8" s="24"/>
      <c r="Q8" s="19"/>
      <c r="R8" s="16">
        <f t="shared" si="2"/>
        <v>0</v>
      </c>
      <c r="T8" s="7" t="s">
        <v>3</v>
      </c>
      <c r="U8" s="4" t="s">
        <v>4</v>
      </c>
      <c r="V8" s="24"/>
      <c r="W8" s="19"/>
      <c r="X8" s="16">
        <f t="shared" si="3"/>
        <v>0</v>
      </c>
    </row>
    <row r="9" spans="1:24" ht="18.75" x14ac:dyDescent="0.3">
      <c r="A9" s="7" t="s">
        <v>5</v>
      </c>
      <c r="B9" s="4" t="s">
        <v>6</v>
      </c>
      <c r="C9" s="24"/>
      <c r="D9" s="22"/>
      <c r="E9" s="19">
        <f>422.65+460.39</f>
        <v>883.04</v>
      </c>
      <c r="F9" s="16">
        <f t="shared" si="0"/>
        <v>-883.04</v>
      </c>
      <c r="H9" s="7" t="s">
        <v>5</v>
      </c>
      <c r="I9" s="4" t="s">
        <v>6</v>
      </c>
      <c r="J9" s="24"/>
      <c r="K9" s="19"/>
      <c r="L9" s="16">
        <f t="shared" si="1"/>
        <v>0</v>
      </c>
      <c r="N9" s="7" t="s">
        <v>5</v>
      </c>
      <c r="O9" s="4" t="s">
        <v>6</v>
      </c>
      <c r="P9" s="24"/>
      <c r="Q9" s="19"/>
      <c r="R9" s="16">
        <f t="shared" si="2"/>
        <v>0</v>
      </c>
      <c r="T9" s="7" t="s">
        <v>5</v>
      </c>
      <c r="U9" s="4" t="s">
        <v>6</v>
      </c>
      <c r="V9" s="24"/>
      <c r="W9" s="19"/>
      <c r="X9" s="16">
        <f t="shared" si="3"/>
        <v>0</v>
      </c>
    </row>
    <row r="10" spans="1:24" ht="18.75" x14ac:dyDescent="0.3">
      <c r="A10" s="7" t="s">
        <v>7</v>
      </c>
      <c r="B10" s="4" t="s">
        <v>8</v>
      </c>
      <c r="C10" s="21"/>
      <c r="D10" s="22"/>
      <c r="E10" s="19"/>
      <c r="F10" s="16">
        <f t="shared" si="0"/>
        <v>0</v>
      </c>
      <c r="H10" s="7" t="s">
        <v>7</v>
      </c>
      <c r="I10" s="4" t="s">
        <v>8</v>
      </c>
      <c r="J10" s="21"/>
      <c r="K10" s="19"/>
      <c r="L10" s="16">
        <f t="shared" si="1"/>
        <v>0</v>
      </c>
      <c r="N10" s="7" t="s">
        <v>7</v>
      </c>
      <c r="O10" s="4" t="s">
        <v>8</v>
      </c>
      <c r="P10" s="21"/>
      <c r="Q10" s="19"/>
      <c r="R10" s="16">
        <f t="shared" si="2"/>
        <v>0</v>
      </c>
      <c r="T10" s="7" t="s">
        <v>7</v>
      </c>
      <c r="U10" s="4" t="s">
        <v>8</v>
      </c>
      <c r="V10" s="21"/>
      <c r="W10" s="19"/>
      <c r="X10" s="16">
        <f t="shared" si="3"/>
        <v>0</v>
      </c>
    </row>
    <row r="11" spans="1:24" ht="18.75" x14ac:dyDescent="0.3">
      <c r="A11" s="7" t="s">
        <v>9</v>
      </c>
      <c r="B11" s="4" t="s">
        <v>10</v>
      </c>
      <c r="C11" s="24"/>
      <c r="D11" s="22"/>
      <c r="E11" s="19">
        <f>206.96+172.11</f>
        <v>379.07000000000005</v>
      </c>
      <c r="F11" s="16">
        <f t="shared" si="0"/>
        <v>-379.07000000000005</v>
      </c>
      <c r="H11" s="7" t="s">
        <v>9</v>
      </c>
      <c r="I11" s="4" t="s">
        <v>10</v>
      </c>
      <c r="J11" s="24"/>
      <c r="K11" s="19"/>
      <c r="L11" s="16">
        <f t="shared" si="1"/>
        <v>0</v>
      </c>
      <c r="N11" s="7" t="s">
        <v>9</v>
      </c>
      <c r="O11" s="4" t="s">
        <v>10</v>
      </c>
      <c r="P11" s="24"/>
      <c r="Q11" s="19"/>
      <c r="R11" s="16">
        <f t="shared" si="2"/>
        <v>0</v>
      </c>
      <c r="T11" s="7" t="s">
        <v>9</v>
      </c>
      <c r="U11" s="4" t="s">
        <v>10</v>
      </c>
      <c r="V11" s="24"/>
      <c r="W11" s="19"/>
      <c r="X11" s="16">
        <f t="shared" si="3"/>
        <v>0</v>
      </c>
    </row>
    <row r="12" spans="1:24" ht="18.75" x14ac:dyDescent="0.3">
      <c r="A12" s="7"/>
      <c r="B12" s="4"/>
      <c r="C12" s="24"/>
      <c r="D12" s="22"/>
      <c r="E12" s="19"/>
      <c r="F12" s="16"/>
      <c r="H12" s="7"/>
      <c r="I12" s="4"/>
      <c r="J12" s="24"/>
      <c r="K12" s="19"/>
      <c r="L12" s="16"/>
      <c r="N12" s="7"/>
      <c r="O12" s="4"/>
      <c r="P12" s="24"/>
      <c r="Q12" s="19"/>
      <c r="R12" s="16"/>
      <c r="T12" s="7"/>
      <c r="U12" s="4"/>
      <c r="V12" s="24"/>
      <c r="W12" s="19"/>
      <c r="X12" s="16"/>
    </row>
    <row r="13" spans="1:24" ht="18.75" x14ac:dyDescent="0.3">
      <c r="A13" s="7" t="s">
        <v>11</v>
      </c>
      <c r="B13" s="3" t="s">
        <v>12</v>
      </c>
      <c r="C13" s="23"/>
      <c r="D13" s="22"/>
      <c r="E13" s="23">
        <f>E14+E15+E16+E17</f>
        <v>11855.66</v>
      </c>
      <c r="F13" s="15">
        <f>D13-E13</f>
        <v>-11855.66</v>
      </c>
      <c r="H13" s="7" t="s">
        <v>11</v>
      </c>
      <c r="I13" s="3" t="s">
        <v>12</v>
      </c>
      <c r="J13" s="23"/>
      <c r="K13" s="23"/>
      <c r="L13" s="15">
        <f>J13-K13</f>
        <v>0</v>
      </c>
      <c r="N13" s="7" t="s">
        <v>11</v>
      </c>
      <c r="O13" s="3" t="s">
        <v>12</v>
      </c>
      <c r="P13" s="23"/>
      <c r="Q13" s="23"/>
      <c r="R13" s="15">
        <f>P13-Q13</f>
        <v>0</v>
      </c>
      <c r="T13" s="7" t="s">
        <v>11</v>
      </c>
      <c r="U13" s="3" t="s">
        <v>12</v>
      </c>
      <c r="V13" s="23"/>
      <c r="W13" s="23"/>
      <c r="X13" s="15">
        <f>V13-W13</f>
        <v>0</v>
      </c>
    </row>
    <row r="14" spans="1:24" ht="18.75" x14ac:dyDescent="0.3">
      <c r="A14" s="7" t="s">
        <v>13</v>
      </c>
      <c r="B14" s="4" t="s">
        <v>14</v>
      </c>
      <c r="C14" s="24"/>
      <c r="D14" s="22"/>
      <c r="E14" s="19">
        <f>2930.44+3195.11</f>
        <v>6125.55</v>
      </c>
      <c r="F14" s="16">
        <f>D14-E14</f>
        <v>-6125.55</v>
      </c>
      <c r="H14" s="7" t="s">
        <v>13</v>
      </c>
      <c r="I14" s="4" t="s">
        <v>14</v>
      </c>
      <c r="J14" s="24"/>
      <c r="K14" s="19"/>
      <c r="L14" s="16">
        <f>J14-K14</f>
        <v>0</v>
      </c>
      <c r="N14" s="7" t="s">
        <v>13</v>
      </c>
      <c r="O14" s="4" t="s">
        <v>14</v>
      </c>
      <c r="P14" s="24"/>
      <c r="Q14" s="19"/>
      <c r="R14" s="16">
        <f>P14-Q14</f>
        <v>0</v>
      </c>
      <c r="T14" s="7" t="s">
        <v>13</v>
      </c>
      <c r="U14" s="4" t="s">
        <v>14</v>
      </c>
      <c r="V14" s="24"/>
      <c r="W14" s="19"/>
      <c r="X14" s="16">
        <f>V14-W14</f>
        <v>0</v>
      </c>
    </row>
    <row r="15" spans="1:24" ht="18.75" x14ac:dyDescent="0.3">
      <c r="A15" s="7" t="s">
        <v>15</v>
      </c>
      <c r="B15" s="4" t="s">
        <v>16</v>
      </c>
      <c r="C15" s="24"/>
      <c r="D15" s="22"/>
      <c r="E15" s="19">
        <f>951.76+1037.49</f>
        <v>1989.25</v>
      </c>
      <c r="F15" s="16">
        <f>D15-E15</f>
        <v>-1989.25</v>
      </c>
      <c r="H15" s="7" t="s">
        <v>15</v>
      </c>
      <c r="I15" s="4" t="s">
        <v>16</v>
      </c>
      <c r="J15" s="24"/>
      <c r="K15" s="19"/>
      <c r="L15" s="16">
        <f>J15-K15</f>
        <v>0</v>
      </c>
      <c r="N15" s="7" t="s">
        <v>15</v>
      </c>
      <c r="O15" s="4" t="s">
        <v>16</v>
      </c>
      <c r="P15" s="24"/>
      <c r="Q15" s="19"/>
      <c r="R15" s="16">
        <f>P15-Q15</f>
        <v>0</v>
      </c>
      <c r="T15" s="7" t="s">
        <v>15</v>
      </c>
      <c r="U15" s="4" t="s">
        <v>16</v>
      </c>
      <c r="V15" s="24"/>
      <c r="W15" s="19"/>
      <c r="X15" s="16">
        <f>V15-W15</f>
        <v>0</v>
      </c>
    </row>
    <row r="16" spans="1:24" ht="18.75" x14ac:dyDescent="0.3">
      <c r="A16" s="7" t="s">
        <v>17</v>
      </c>
      <c r="B16" s="4" t="s">
        <v>18</v>
      </c>
      <c r="C16" s="24"/>
      <c r="D16" s="22"/>
      <c r="E16" s="19">
        <f>1191.81+1304.03</f>
        <v>2495.84</v>
      </c>
      <c r="F16" s="16">
        <f t="shared" ref="F16:F17" si="4">D16-E16</f>
        <v>-2495.84</v>
      </c>
      <c r="H16" s="7" t="s">
        <v>17</v>
      </c>
      <c r="I16" s="4" t="s">
        <v>18</v>
      </c>
      <c r="J16" s="24"/>
      <c r="K16" s="19"/>
      <c r="L16" s="16">
        <f t="shared" ref="L16:L17" si="5">J16-K16</f>
        <v>0</v>
      </c>
      <c r="N16" s="7" t="s">
        <v>17</v>
      </c>
      <c r="O16" s="4" t="s">
        <v>18</v>
      </c>
      <c r="P16" s="24"/>
      <c r="Q16" s="19"/>
      <c r="R16" s="16">
        <f t="shared" ref="R16:R17" si="6">P16-Q16</f>
        <v>0</v>
      </c>
      <c r="T16" s="7" t="s">
        <v>17</v>
      </c>
      <c r="U16" s="4" t="s">
        <v>18</v>
      </c>
      <c r="V16" s="24"/>
      <c r="W16" s="19"/>
      <c r="X16" s="16">
        <f t="shared" ref="X16:X17" si="7">V16-W16</f>
        <v>0</v>
      </c>
    </row>
    <row r="17" spans="1:24" ht="18.75" x14ac:dyDescent="0.3">
      <c r="A17" s="7" t="s">
        <v>19</v>
      </c>
      <c r="B17" s="4" t="s">
        <v>20</v>
      </c>
      <c r="C17" s="24"/>
      <c r="D17" s="22"/>
      <c r="E17" s="19">
        <f>596.38+648.64</f>
        <v>1245.02</v>
      </c>
      <c r="F17" s="16">
        <f t="shared" si="4"/>
        <v>-1245.02</v>
      </c>
      <c r="H17" s="7" t="s">
        <v>19</v>
      </c>
      <c r="I17" s="4" t="s">
        <v>20</v>
      </c>
      <c r="J17" s="24"/>
      <c r="K17" s="19"/>
      <c r="L17" s="16">
        <f t="shared" si="5"/>
        <v>0</v>
      </c>
      <c r="N17" s="7" t="s">
        <v>19</v>
      </c>
      <c r="O17" s="4" t="s">
        <v>20</v>
      </c>
      <c r="P17" s="24"/>
      <c r="Q17" s="19"/>
      <c r="R17" s="16">
        <f t="shared" si="6"/>
        <v>0</v>
      </c>
      <c r="T17" s="7" t="s">
        <v>19</v>
      </c>
      <c r="U17" s="4" t="s">
        <v>20</v>
      </c>
      <c r="V17" s="24"/>
      <c r="W17" s="19"/>
      <c r="X17" s="16">
        <f t="shared" si="7"/>
        <v>0</v>
      </c>
    </row>
    <row r="18" spans="1:24" ht="18.75" x14ac:dyDescent="0.3">
      <c r="A18" s="47"/>
      <c r="B18" s="4"/>
      <c r="C18" s="24"/>
      <c r="D18" s="22"/>
      <c r="E18" s="19"/>
      <c r="F18" s="16"/>
      <c r="H18" s="47"/>
      <c r="I18" s="4"/>
      <c r="J18" s="24"/>
      <c r="K18" s="19"/>
      <c r="L18" s="16"/>
      <c r="N18" s="47"/>
      <c r="O18" s="4"/>
      <c r="P18" s="24"/>
      <c r="Q18" s="19"/>
      <c r="R18" s="16"/>
      <c r="T18" s="47"/>
      <c r="U18" s="4"/>
      <c r="V18" s="24"/>
      <c r="W18" s="19"/>
      <c r="X18" s="16"/>
    </row>
    <row r="19" spans="1:24" ht="18.75" x14ac:dyDescent="0.3">
      <c r="A19" s="48" t="s">
        <v>40</v>
      </c>
      <c r="B19" s="4" t="s">
        <v>29</v>
      </c>
      <c r="C19" s="24"/>
      <c r="D19" s="22"/>
      <c r="E19" s="17">
        <f>E20+E21+E22+E23+E24+E25+E26+E27+E28+E29</f>
        <v>6107.67</v>
      </c>
      <c r="F19" s="15">
        <f t="shared" si="0"/>
        <v>-6107.67</v>
      </c>
      <c r="H19" s="48" t="s">
        <v>40</v>
      </c>
      <c r="I19" s="4" t="s">
        <v>29</v>
      </c>
      <c r="J19" s="24"/>
      <c r="K19" s="17">
        <f>K20+K21+K22+K23+K24+K25+K26+K27</f>
        <v>835.14</v>
      </c>
      <c r="L19" s="15">
        <f>J19-K19</f>
        <v>-835.14</v>
      </c>
      <c r="N19" s="48" t="s">
        <v>40</v>
      </c>
      <c r="O19" s="4" t="s">
        <v>29</v>
      </c>
      <c r="P19" s="24"/>
      <c r="Q19" s="17"/>
      <c r="R19" s="15">
        <f>P19-Q19</f>
        <v>0</v>
      </c>
      <c r="T19" s="48" t="s">
        <v>40</v>
      </c>
      <c r="U19" s="4" t="s">
        <v>29</v>
      </c>
      <c r="V19" s="24"/>
      <c r="W19" s="17"/>
      <c r="X19" s="15">
        <f>V19-W19</f>
        <v>0</v>
      </c>
    </row>
    <row r="20" spans="1:24" ht="18.75" x14ac:dyDescent="0.3">
      <c r="A20" s="43" t="s">
        <v>21</v>
      </c>
      <c r="B20" s="44" t="s">
        <v>22</v>
      </c>
      <c r="C20" s="45"/>
      <c r="D20" s="22"/>
      <c r="E20" s="49">
        <f>458.15+1764.07+1761.63</f>
        <v>3983.85</v>
      </c>
      <c r="F20" s="16">
        <f t="shared" si="0"/>
        <v>-3983.85</v>
      </c>
      <c r="H20" s="43" t="s">
        <v>21</v>
      </c>
      <c r="I20" s="44" t="s">
        <v>22</v>
      </c>
      <c r="J20" s="45"/>
      <c r="K20" s="49"/>
      <c r="L20" s="16">
        <f t="shared" ref="L20" si="8">J20-K20</f>
        <v>0</v>
      </c>
      <c r="N20" s="43" t="s">
        <v>21</v>
      </c>
      <c r="O20" s="44" t="s">
        <v>22</v>
      </c>
      <c r="P20" s="45"/>
      <c r="Q20" s="49"/>
      <c r="R20" s="16">
        <f t="shared" ref="R20" si="9">P20-Q20</f>
        <v>0</v>
      </c>
      <c r="T20" s="43" t="s">
        <v>21</v>
      </c>
      <c r="U20" s="44" t="s">
        <v>22</v>
      </c>
      <c r="V20" s="45"/>
      <c r="W20" s="49"/>
      <c r="X20" s="16">
        <f t="shared" ref="X20" si="10">V20-W20</f>
        <v>0</v>
      </c>
    </row>
    <row r="21" spans="1:24" ht="18.75" x14ac:dyDescent="0.3">
      <c r="A21" s="43" t="s">
        <v>41</v>
      </c>
      <c r="B21" s="44" t="s">
        <v>30</v>
      </c>
      <c r="C21" s="45"/>
      <c r="D21" s="22"/>
      <c r="E21" s="46"/>
      <c r="F21" s="15"/>
      <c r="H21" s="43" t="s">
        <v>41</v>
      </c>
      <c r="I21" s="44" t="s">
        <v>30</v>
      </c>
      <c r="J21" s="45"/>
      <c r="K21" s="46"/>
      <c r="L21" s="15"/>
      <c r="N21" s="43" t="s">
        <v>41</v>
      </c>
      <c r="O21" s="44" t="s">
        <v>30</v>
      </c>
      <c r="P21" s="45"/>
      <c r="Q21" s="46"/>
      <c r="R21" s="15"/>
      <c r="T21" s="43" t="s">
        <v>41</v>
      </c>
      <c r="U21" s="44" t="s">
        <v>30</v>
      </c>
      <c r="V21" s="45"/>
      <c r="W21" s="46"/>
      <c r="X21" s="15"/>
    </row>
    <row r="22" spans="1:24" ht="18.75" x14ac:dyDescent="0.3">
      <c r="A22" s="43" t="s">
        <v>42</v>
      </c>
      <c r="B22" s="44" t="s">
        <v>31</v>
      </c>
      <c r="C22" s="45"/>
      <c r="D22" s="22"/>
      <c r="E22" s="49"/>
      <c r="F22" s="16">
        <f t="shared" si="0"/>
        <v>0</v>
      </c>
      <c r="H22" s="43" t="s">
        <v>42</v>
      </c>
      <c r="I22" s="44" t="s">
        <v>31</v>
      </c>
      <c r="J22" s="45"/>
      <c r="K22" s="49"/>
      <c r="L22" s="16">
        <f t="shared" ref="L22:L23" si="11">J22-K22</f>
        <v>0</v>
      </c>
      <c r="N22" s="43" t="s">
        <v>42</v>
      </c>
      <c r="O22" s="44" t="s">
        <v>31</v>
      </c>
      <c r="P22" s="45"/>
      <c r="Q22" s="49"/>
      <c r="R22" s="16">
        <f t="shared" ref="R22:R23" si="12">P22-Q22</f>
        <v>0</v>
      </c>
      <c r="T22" s="43" t="s">
        <v>42</v>
      </c>
      <c r="U22" s="44" t="s">
        <v>31</v>
      </c>
      <c r="V22" s="45"/>
      <c r="W22" s="49"/>
      <c r="X22" s="16">
        <f t="shared" ref="X22:X23" si="13">V22-W22</f>
        <v>0</v>
      </c>
    </row>
    <row r="23" spans="1:24" ht="18.75" x14ac:dyDescent="0.3">
      <c r="A23" s="7" t="s">
        <v>23</v>
      </c>
      <c r="B23" s="12" t="s">
        <v>24</v>
      </c>
      <c r="C23" s="21"/>
      <c r="D23" s="22"/>
      <c r="E23" s="19"/>
      <c r="F23" s="16">
        <f t="shared" si="0"/>
        <v>0</v>
      </c>
      <c r="H23" s="7" t="s">
        <v>23</v>
      </c>
      <c r="I23" s="12" t="s">
        <v>24</v>
      </c>
      <c r="J23" s="21"/>
      <c r="K23" s="19"/>
      <c r="L23" s="16">
        <f t="shared" si="11"/>
        <v>0</v>
      </c>
      <c r="N23" s="7" t="s">
        <v>23</v>
      </c>
      <c r="O23" s="12" t="s">
        <v>24</v>
      </c>
      <c r="P23" s="21"/>
      <c r="Q23" s="19"/>
      <c r="R23" s="16">
        <f t="shared" si="12"/>
        <v>0</v>
      </c>
      <c r="T23" s="7" t="s">
        <v>23</v>
      </c>
      <c r="U23" s="12" t="s">
        <v>24</v>
      </c>
      <c r="V23" s="21"/>
      <c r="W23" s="19"/>
      <c r="X23" s="16">
        <f t="shared" si="13"/>
        <v>0</v>
      </c>
    </row>
    <row r="24" spans="1:24" ht="18.75" x14ac:dyDescent="0.3">
      <c r="A24" s="7" t="s">
        <v>32</v>
      </c>
      <c r="B24" s="12" t="s">
        <v>33</v>
      </c>
      <c r="C24" s="24"/>
      <c r="D24" s="22"/>
      <c r="E24" s="19">
        <f>127.87+145.88</f>
        <v>273.75</v>
      </c>
      <c r="F24" s="16">
        <f>D24-E24</f>
        <v>-273.75</v>
      </c>
      <c r="H24" s="7" t="s">
        <v>32</v>
      </c>
      <c r="I24" s="12" t="s">
        <v>33</v>
      </c>
      <c r="J24" s="24"/>
      <c r="K24" s="19">
        <f>538.6+64</f>
        <v>602.6</v>
      </c>
      <c r="L24" s="16">
        <f>J24-K24</f>
        <v>-602.6</v>
      </c>
      <c r="N24" s="7" t="s">
        <v>32</v>
      </c>
      <c r="O24" s="12" t="s">
        <v>33</v>
      </c>
      <c r="P24" s="57">
        <f>(20466.24+57835.48)/1.95583</f>
        <v>40035.033719699568</v>
      </c>
      <c r="Q24" s="19">
        <f>(75239.19+3618.25-555.72)/1.95583</f>
        <v>40035.033719699568</v>
      </c>
      <c r="R24" s="16">
        <f>P24-Q24</f>
        <v>0</v>
      </c>
      <c r="T24" s="7" t="s">
        <v>32</v>
      </c>
      <c r="U24" s="12" t="s">
        <v>33</v>
      </c>
      <c r="V24" s="57">
        <f>(20466.24+57835.48)/1.95583</f>
        <v>40035.033719699568</v>
      </c>
      <c r="W24" s="19"/>
      <c r="X24" s="16">
        <f>V24-W24</f>
        <v>40035.033719699568</v>
      </c>
    </row>
    <row r="25" spans="1:24" ht="18.75" x14ac:dyDescent="0.3">
      <c r="A25" s="7" t="s">
        <v>34</v>
      </c>
      <c r="B25" s="4" t="s">
        <v>35</v>
      </c>
      <c r="C25" s="24"/>
      <c r="D25" s="22"/>
      <c r="E25" s="19">
        <f>124.86+113.84+171.41</f>
        <v>410.11</v>
      </c>
      <c r="F25" s="16">
        <f>D25-E25</f>
        <v>-410.11</v>
      </c>
      <c r="H25" s="7" t="s">
        <v>34</v>
      </c>
      <c r="I25" s="4" t="s">
        <v>35</v>
      </c>
      <c r="J25" s="24"/>
      <c r="K25" s="19"/>
      <c r="L25" s="16">
        <f>J25-K25</f>
        <v>0</v>
      </c>
      <c r="N25" s="7" t="s">
        <v>34</v>
      </c>
      <c r="O25" s="4" t="s">
        <v>35</v>
      </c>
      <c r="P25" s="24"/>
      <c r="Q25" s="19"/>
      <c r="R25" s="16">
        <f>P25-Q25</f>
        <v>0</v>
      </c>
      <c r="T25" s="7" t="s">
        <v>34</v>
      </c>
      <c r="U25" s="4" t="s">
        <v>35</v>
      </c>
      <c r="V25" s="24"/>
      <c r="W25" s="19"/>
      <c r="X25" s="16">
        <f>V25-W25</f>
        <v>0</v>
      </c>
    </row>
    <row r="26" spans="1:24" ht="18.75" x14ac:dyDescent="0.3">
      <c r="A26" s="42" t="s">
        <v>44</v>
      </c>
      <c r="B26" s="12" t="s">
        <v>25</v>
      </c>
      <c r="C26" s="24"/>
      <c r="D26" s="22"/>
      <c r="E26" s="19">
        <f>338.11+529.18+551.45</f>
        <v>1418.74</v>
      </c>
      <c r="F26" s="15">
        <f t="shared" si="0"/>
        <v>-1418.74</v>
      </c>
      <c r="H26" s="42" t="s">
        <v>44</v>
      </c>
      <c r="I26" s="12" t="s">
        <v>25</v>
      </c>
      <c r="J26" s="24"/>
      <c r="K26" s="19">
        <f>116.27+116.27</f>
        <v>232.54</v>
      </c>
      <c r="L26" s="15">
        <f t="shared" ref="L26:L28" si="14">J26-K26</f>
        <v>-232.54</v>
      </c>
      <c r="N26" s="42" t="s">
        <v>44</v>
      </c>
      <c r="O26" s="12" t="s">
        <v>25</v>
      </c>
      <c r="P26" s="24"/>
      <c r="Q26" s="19"/>
      <c r="R26" s="15">
        <f t="shared" ref="R26:R34" si="15">P26-Q26</f>
        <v>0</v>
      </c>
      <c r="T26" s="42" t="s">
        <v>44</v>
      </c>
      <c r="U26" s="12" t="s">
        <v>25</v>
      </c>
      <c r="V26" s="24"/>
      <c r="W26" s="19"/>
      <c r="X26" s="15">
        <f t="shared" ref="X26:X31" si="16">V26-W26</f>
        <v>0</v>
      </c>
    </row>
    <row r="27" spans="1:24" ht="18.75" x14ac:dyDescent="0.3">
      <c r="A27" s="42" t="s">
        <v>36</v>
      </c>
      <c r="B27" s="12" t="s">
        <v>37</v>
      </c>
      <c r="C27" s="24"/>
      <c r="D27" s="22"/>
      <c r="E27" s="19"/>
      <c r="F27" s="16">
        <f t="shared" si="0"/>
        <v>0</v>
      </c>
      <c r="H27" s="42" t="s">
        <v>36</v>
      </c>
      <c r="I27" s="12" t="s">
        <v>37</v>
      </c>
      <c r="J27" s="24"/>
      <c r="K27" s="19"/>
      <c r="L27" s="16">
        <f t="shared" si="14"/>
        <v>0</v>
      </c>
      <c r="N27" s="42" t="s">
        <v>36</v>
      </c>
      <c r="O27" s="12" t="s">
        <v>37</v>
      </c>
      <c r="P27" s="57">
        <f>2880/1.95583</f>
        <v>1472.5206178451092</v>
      </c>
      <c r="Q27" s="19">
        <v>1472.52</v>
      </c>
      <c r="R27" s="16">
        <f t="shared" si="15"/>
        <v>6.1784510921825131E-4</v>
      </c>
      <c r="T27" s="42" t="s">
        <v>36</v>
      </c>
      <c r="U27" s="12" t="s">
        <v>37</v>
      </c>
      <c r="V27" s="57">
        <f>2880/1.95583</f>
        <v>1472.5206178451092</v>
      </c>
      <c r="W27" s="19">
        <v>1472.52</v>
      </c>
      <c r="X27" s="16">
        <f t="shared" si="16"/>
        <v>6.1784510921825131E-4</v>
      </c>
    </row>
    <row r="28" spans="1:24" ht="18.75" x14ac:dyDescent="0.3">
      <c r="A28" s="42" t="s">
        <v>45</v>
      </c>
      <c r="B28" s="12" t="s">
        <v>38</v>
      </c>
      <c r="C28" s="24"/>
      <c r="D28" s="22"/>
      <c r="E28" s="19">
        <f>21.22</f>
        <v>21.22</v>
      </c>
      <c r="F28" s="16">
        <f t="shared" si="0"/>
        <v>-21.22</v>
      </c>
      <c r="H28" s="42" t="s">
        <v>45</v>
      </c>
      <c r="I28" s="12" t="s">
        <v>38</v>
      </c>
      <c r="J28" s="24"/>
      <c r="K28" s="19"/>
      <c r="L28" s="16">
        <f t="shared" si="14"/>
        <v>0</v>
      </c>
      <c r="N28" s="7" t="s">
        <v>74</v>
      </c>
      <c r="O28" s="12" t="s">
        <v>120</v>
      </c>
      <c r="P28" s="57">
        <f>27137.3/1.95583</f>
        <v>13875.081167586141</v>
      </c>
      <c r="Q28" s="19">
        <f>27137.31/1.95583</f>
        <v>13875.086280504953</v>
      </c>
      <c r="R28" s="16">
        <f t="shared" si="15"/>
        <v>-5.1129188123013591E-3</v>
      </c>
      <c r="T28" s="7" t="s">
        <v>74</v>
      </c>
      <c r="U28" s="12" t="s">
        <v>120</v>
      </c>
      <c r="V28" s="57">
        <f>27137.3/1.95583</f>
        <v>13875.081167586141</v>
      </c>
      <c r="W28" s="19"/>
      <c r="X28" s="16">
        <f t="shared" si="16"/>
        <v>13875.081167586141</v>
      </c>
    </row>
    <row r="29" spans="1:24" ht="18.75" x14ac:dyDescent="0.3">
      <c r="A29" s="42" t="s">
        <v>46</v>
      </c>
      <c r="B29" s="12" t="s">
        <v>49</v>
      </c>
      <c r="C29" s="24"/>
      <c r="D29" s="22"/>
      <c r="E29" s="19"/>
      <c r="F29" s="16"/>
      <c r="H29" s="42" t="s">
        <v>46</v>
      </c>
      <c r="I29" s="12" t="s">
        <v>49</v>
      </c>
      <c r="J29" s="24"/>
      <c r="K29" s="19"/>
      <c r="L29" s="16"/>
      <c r="N29" s="42" t="s">
        <v>132</v>
      </c>
      <c r="O29" s="12" t="s">
        <v>121</v>
      </c>
      <c r="P29" s="57">
        <f>29903.76/1.95583</f>
        <v>15289.54970524023</v>
      </c>
      <c r="Q29" s="19">
        <f>(15310.08+14593.68)/1.95583</f>
        <v>15289.549705240232</v>
      </c>
      <c r="R29" s="16">
        <f t="shared" si="15"/>
        <v>0</v>
      </c>
      <c r="T29" s="42" t="s">
        <v>132</v>
      </c>
      <c r="U29" s="12" t="s">
        <v>121</v>
      </c>
      <c r="V29" s="57">
        <f>29903.76/1.95583</f>
        <v>15289.54970524023</v>
      </c>
      <c r="W29" s="19"/>
      <c r="X29" s="16">
        <f t="shared" si="16"/>
        <v>15289.54970524023</v>
      </c>
    </row>
    <row r="30" spans="1:24" ht="18.75" x14ac:dyDescent="0.3">
      <c r="A30" s="42" t="s">
        <v>47</v>
      </c>
      <c r="B30" s="12" t="s">
        <v>50</v>
      </c>
      <c r="C30" s="24"/>
      <c r="D30" s="22"/>
      <c r="E30" s="19"/>
      <c r="F30" s="16">
        <f t="shared" si="0"/>
        <v>0</v>
      </c>
      <c r="H30" s="42" t="s">
        <v>47</v>
      </c>
      <c r="I30" s="12" t="s">
        <v>50</v>
      </c>
      <c r="J30" s="24"/>
      <c r="K30" s="19"/>
      <c r="L30" s="16">
        <f t="shared" ref="L30:L33" si="17">J30-K30</f>
        <v>0</v>
      </c>
      <c r="N30" s="42" t="s">
        <v>133</v>
      </c>
      <c r="O30" s="12" t="s">
        <v>122</v>
      </c>
      <c r="P30" s="57">
        <f>39744.57/1.95583</f>
        <v>20321.07596263479</v>
      </c>
      <c r="Q30" s="19">
        <f>((31993.41+555.73)/1.95583)+3678.97</f>
        <v>20321.081021919083</v>
      </c>
      <c r="R30" s="16">
        <f t="shared" si="15"/>
        <v>-5.0592842926562298E-3</v>
      </c>
      <c r="T30" s="42" t="s">
        <v>133</v>
      </c>
      <c r="U30" s="12" t="s">
        <v>122</v>
      </c>
      <c r="V30" s="57">
        <f>39744.57/1.95583</f>
        <v>20321.07596263479</v>
      </c>
      <c r="W30" s="19">
        <v>3678.97</v>
      </c>
      <c r="X30" s="16">
        <f t="shared" si="16"/>
        <v>16642.105962634789</v>
      </c>
    </row>
    <row r="31" spans="1:24" ht="18.75" x14ac:dyDescent="0.3">
      <c r="A31" s="7" t="s">
        <v>48</v>
      </c>
      <c r="B31" s="12" t="s">
        <v>51</v>
      </c>
      <c r="C31" s="24"/>
      <c r="D31" s="22"/>
      <c r="E31" s="19"/>
      <c r="F31" s="16">
        <f t="shared" si="0"/>
        <v>0</v>
      </c>
      <c r="H31" s="7" t="s">
        <v>48</v>
      </c>
      <c r="I31" s="12" t="s">
        <v>51</v>
      </c>
      <c r="J31" s="24"/>
      <c r="K31" s="19"/>
      <c r="L31" s="16">
        <f t="shared" si="17"/>
        <v>0</v>
      </c>
      <c r="N31" s="7" t="s">
        <v>48</v>
      </c>
      <c r="O31" s="12" t="s">
        <v>51</v>
      </c>
      <c r="P31" s="24"/>
      <c r="Q31" s="19"/>
      <c r="R31" s="16">
        <f t="shared" si="15"/>
        <v>0</v>
      </c>
      <c r="T31" s="7" t="s">
        <v>48</v>
      </c>
      <c r="U31" s="12" t="s">
        <v>51</v>
      </c>
      <c r="V31" s="24"/>
      <c r="W31" s="19"/>
      <c r="X31" s="16">
        <f t="shared" si="16"/>
        <v>0</v>
      </c>
    </row>
    <row r="32" spans="1:24" ht="18.75" x14ac:dyDescent="0.3">
      <c r="A32" s="7" t="s">
        <v>74</v>
      </c>
      <c r="B32" s="12" t="s">
        <v>72</v>
      </c>
      <c r="C32" s="24"/>
      <c r="D32" s="22"/>
      <c r="E32" s="74"/>
      <c r="F32" s="16">
        <f t="shared" si="0"/>
        <v>0</v>
      </c>
      <c r="H32" s="13" t="s">
        <v>56</v>
      </c>
      <c r="I32" s="12" t="s">
        <v>57</v>
      </c>
      <c r="J32" s="71">
        <f>1850.4</f>
        <v>1850.4</v>
      </c>
      <c r="K32" s="19"/>
      <c r="L32" s="16">
        <f>J32-K34</f>
        <v>1015.2600000000001</v>
      </c>
      <c r="N32" s="13" t="s">
        <v>56</v>
      </c>
      <c r="O32" s="12" t="s">
        <v>57</v>
      </c>
      <c r="P32" s="71">
        <f>((88273.22+51909.65+25459.75+3648.4)/1.95583)+5194.42</f>
        <v>91751.544085426649</v>
      </c>
      <c r="Q32" s="19"/>
      <c r="R32" s="16">
        <f>P32-Q34</f>
        <v>758.27335806282645</v>
      </c>
      <c r="T32" s="13" t="s">
        <v>56</v>
      </c>
      <c r="U32" s="12" t="s">
        <v>57</v>
      </c>
      <c r="V32" s="71">
        <v>5194.42</v>
      </c>
      <c r="W32" s="19"/>
      <c r="X32" s="16">
        <f>V32-W34</f>
        <v>42.930000000000291</v>
      </c>
    </row>
    <row r="33" spans="1:24" ht="18.75" x14ac:dyDescent="0.3">
      <c r="A33" s="7" t="s">
        <v>75</v>
      </c>
      <c r="B33" s="12" t="s">
        <v>73</v>
      </c>
      <c r="C33" s="24"/>
      <c r="D33" s="22"/>
      <c r="E33" s="75"/>
      <c r="F33" s="16">
        <f t="shared" si="0"/>
        <v>0</v>
      </c>
      <c r="J33" s="24"/>
      <c r="K33" s="19"/>
      <c r="L33" s="16">
        <f t="shared" si="17"/>
        <v>0</v>
      </c>
      <c r="P33" s="24"/>
      <c r="Q33" s="19"/>
      <c r="R33" s="16">
        <f t="shared" si="15"/>
        <v>0</v>
      </c>
      <c r="V33" s="24"/>
      <c r="W33" s="19"/>
      <c r="X33" s="16">
        <f t="shared" ref="X33:X34" si="18">V33-W33</f>
        <v>0</v>
      </c>
    </row>
    <row r="34" spans="1:24" ht="18.75" x14ac:dyDescent="0.3">
      <c r="A34" s="13" t="s">
        <v>26</v>
      </c>
      <c r="B34" s="12" t="s">
        <v>27</v>
      </c>
      <c r="C34" s="25"/>
      <c r="D34" s="22"/>
      <c r="E34" s="19"/>
      <c r="F34" s="16">
        <f t="shared" si="0"/>
        <v>0</v>
      </c>
      <c r="I34" t="s">
        <v>28</v>
      </c>
      <c r="J34" s="55">
        <f>(1660/1.95583)+1850.4</f>
        <v>2699.144522785723</v>
      </c>
      <c r="K34" s="55">
        <f>K6+K7+K13+K19+K30+K31</f>
        <v>835.14</v>
      </c>
      <c r="L34" s="55">
        <f>J34-K34</f>
        <v>1864.0045227857231</v>
      </c>
      <c r="N34" t="s">
        <v>136</v>
      </c>
      <c r="O34" t="s">
        <v>28</v>
      </c>
      <c r="P34" s="55">
        <f>180758.65/1.95583</f>
        <v>92420.430200988834</v>
      </c>
      <c r="Q34" s="55">
        <f>Q6+Q24+Q27+Q28+Q29+Q307+Q13+Q19+Q30+Q31</f>
        <v>90993.270727363823</v>
      </c>
      <c r="R34" s="85">
        <f t="shared" si="15"/>
        <v>1427.1594736250117</v>
      </c>
      <c r="T34" t="s">
        <v>136</v>
      </c>
      <c r="U34" t="s">
        <v>28</v>
      </c>
      <c r="V34" s="55">
        <f>180758.65/1.95583</f>
        <v>92420.430200988834</v>
      </c>
      <c r="W34" s="55">
        <f>W6+W24+W27+W28+W29+W307+W13+W19+W30+W31</f>
        <v>5151.49</v>
      </c>
      <c r="X34" s="85">
        <f t="shared" si="18"/>
        <v>87268.940200988829</v>
      </c>
    </row>
    <row r="35" spans="1:24" ht="18.75" x14ac:dyDescent="0.3">
      <c r="C35" s="24"/>
      <c r="D35" s="24"/>
      <c r="E35" s="19"/>
      <c r="F35" s="16">
        <f t="shared" si="0"/>
        <v>0</v>
      </c>
      <c r="J35" s="50"/>
      <c r="K35" s="20"/>
      <c r="N35" t="s">
        <v>135</v>
      </c>
      <c r="P35" s="55">
        <f>((114876.54+60210.8)/1.95583)+1472.52</f>
        <v>90993.25544224192</v>
      </c>
      <c r="Q35" s="20"/>
      <c r="T35" t="s">
        <v>135</v>
      </c>
      <c r="V35" s="55">
        <f>((114876.54+60210.8)/1.95583)+1472.52</f>
        <v>90993.25544224192</v>
      </c>
      <c r="W35" s="20"/>
    </row>
    <row r="36" spans="1:24" ht="18.75" x14ac:dyDescent="0.3">
      <c r="B36" t="s">
        <v>28</v>
      </c>
      <c r="C36" s="26">
        <f>C6+C7+C13+C19+C30+C31+C32+C33</f>
        <v>0</v>
      </c>
      <c r="D36" s="26">
        <f>D6+D7+D13+D19+D30+D31+D32+D33</f>
        <v>0</v>
      </c>
      <c r="E36" s="55">
        <f>E6+E7+E13+E19+E30+E31+E33</f>
        <v>70564.69</v>
      </c>
      <c r="F36" s="55">
        <f>F6+F7+F13+F19+F30+F31+F32+F33</f>
        <v>-70564.69</v>
      </c>
      <c r="H36" s="1" t="s">
        <v>53</v>
      </c>
      <c r="J36" s="50"/>
      <c r="K36" s="56" t="s">
        <v>54</v>
      </c>
      <c r="N36" s="1" t="s">
        <v>53</v>
      </c>
      <c r="P36" s="50"/>
      <c r="Q36" s="56" t="s">
        <v>54</v>
      </c>
      <c r="T36" s="1" t="s">
        <v>53</v>
      </c>
      <c r="V36" s="50"/>
      <c r="W36" s="56" t="s">
        <v>54</v>
      </c>
    </row>
    <row r="37" spans="1:24" ht="18" x14ac:dyDescent="0.25">
      <c r="C37" s="50"/>
      <c r="D37" s="50"/>
      <c r="E37" s="20"/>
      <c r="J37" s="50"/>
      <c r="K37" s="20"/>
      <c r="P37" s="50"/>
      <c r="Q37" s="20"/>
      <c r="V37" s="50"/>
      <c r="W37" s="20"/>
    </row>
    <row r="38" spans="1:24" s="28" customFormat="1" ht="18.75" x14ac:dyDescent="0.3">
      <c r="A38" s="1" t="s">
        <v>53</v>
      </c>
      <c r="B38"/>
      <c r="C38" s="50"/>
      <c r="D38" s="50"/>
      <c r="E38" s="56" t="s">
        <v>54</v>
      </c>
      <c r="F38"/>
      <c r="K38" s="29"/>
      <c r="Q38" s="29"/>
      <c r="W38" s="29"/>
    </row>
    <row r="39" spans="1:24" s="28" customFormat="1" ht="21" x14ac:dyDescent="0.35">
      <c r="A39"/>
      <c r="B39"/>
      <c r="C39" s="50"/>
      <c r="D39" s="50"/>
      <c r="E39" s="20"/>
      <c r="F39"/>
      <c r="H39" s="92"/>
      <c r="I39" s="92"/>
      <c r="J39" s="30"/>
      <c r="K39" s="31"/>
      <c r="L39" s="32"/>
      <c r="N39" s="92"/>
      <c r="O39" s="92"/>
      <c r="P39" s="30"/>
      <c r="Q39" s="31"/>
      <c r="R39" s="32"/>
      <c r="T39" s="92"/>
      <c r="U39" s="92"/>
      <c r="V39" s="30"/>
      <c r="W39" s="31"/>
      <c r="X39" s="32"/>
    </row>
    <row r="40" spans="1:24" s="28" customFormat="1" ht="18" x14ac:dyDescent="0.25">
      <c r="E40" s="29"/>
      <c r="I40" s="27"/>
      <c r="J40" s="33"/>
      <c r="K40" s="34"/>
      <c r="L40" s="35"/>
      <c r="O40" s="27"/>
      <c r="P40" s="33"/>
      <c r="Q40" s="34"/>
      <c r="R40" s="35"/>
      <c r="U40" s="27"/>
      <c r="V40" s="33"/>
      <c r="W40" s="34"/>
      <c r="X40" s="35"/>
    </row>
    <row r="41" spans="1:24" s="28" customFormat="1" ht="21.75" customHeight="1" x14ac:dyDescent="0.35">
      <c r="A41" s="92"/>
      <c r="B41" s="92"/>
      <c r="C41" s="30">
        <f>C34-809</f>
        <v>-809</v>
      </c>
      <c r="D41" s="79">
        <v>809</v>
      </c>
      <c r="E41" s="93" t="s">
        <v>144</v>
      </c>
      <c r="F41" s="93"/>
      <c r="I41" s="27"/>
      <c r="J41" s="36"/>
      <c r="K41" s="37"/>
      <c r="L41" s="35"/>
      <c r="O41" s="27"/>
      <c r="P41" s="36"/>
      <c r="Q41" s="37"/>
      <c r="R41" s="35"/>
      <c r="U41" s="27"/>
      <c r="V41" s="36"/>
      <c r="W41" s="37"/>
      <c r="X41" s="35"/>
    </row>
    <row r="42" spans="1:24" s="28" customFormat="1" ht="18" x14ac:dyDescent="0.25">
      <c r="B42" s="27"/>
      <c r="C42" s="33"/>
      <c r="D42" s="77">
        <v>2122.44</v>
      </c>
      <c r="E42" s="34" t="s">
        <v>140</v>
      </c>
      <c r="F42" s="35"/>
      <c r="I42" s="27"/>
      <c r="J42" s="36"/>
      <c r="K42" s="37"/>
      <c r="L42" s="35"/>
      <c r="O42" s="27"/>
      <c r="P42" s="36"/>
      <c r="Q42" s="37"/>
      <c r="R42" s="35"/>
      <c r="U42" s="27"/>
      <c r="V42" s="36"/>
      <c r="W42" s="37"/>
      <c r="X42" s="35"/>
    </row>
    <row r="43" spans="1:24" s="28" customFormat="1" ht="18" x14ac:dyDescent="0.25">
      <c r="B43" s="27"/>
      <c r="C43" s="36"/>
      <c r="D43" s="33">
        <v>1632</v>
      </c>
      <c r="E43" s="34" t="s">
        <v>141</v>
      </c>
      <c r="F43" s="35"/>
      <c r="I43" s="27"/>
      <c r="J43" s="36"/>
      <c r="K43" s="37"/>
      <c r="L43" s="35"/>
      <c r="O43" s="27"/>
      <c r="P43" s="36"/>
      <c r="Q43" s="37"/>
      <c r="R43" s="35"/>
      <c r="U43" s="27"/>
      <c r="V43" s="36"/>
      <c r="W43" s="37"/>
      <c r="X43" s="35"/>
    </row>
    <row r="44" spans="1:24" s="39" customFormat="1" ht="18" x14ac:dyDescent="0.25">
      <c r="C44" s="33"/>
      <c r="D44" s="33">
        <v>7225</v>
      </c>
      <c r="E44" s="34" t="s">
        <v>143</v>
      </c>
      <c r="F44" s="35"/>
      <c r="I44" s="78"/>
      <c r="J44" s="33"/>
      <c r="K44" s="34"/>
      <c r="L44" s="35"/>
      <c r="O44" s="78"/>
      <c r="P44" s="33"/>
      <c r="Q44" s="34"/>
      <c r="R44" s="35"/>
      <c r="U44" s="78"/>
      <c r="V44" s="33"/>
      <c r="W44" s="34"/>
      <c r="X44" s="35"/>
    </row>
    <row r="45" spans="1:24" s="28" customFormat="1" ht="18" x14ac:dyDescent="0.25">
      <c r="C45" s="36"/>
      <c r="D45" s="77">
        <v>987.17</v>
      </c>
      <c r="E45" s="34" t="s">
        <v>145</v>
      </c>
      <c r="F45" s="35"/>
      <c r="I45" s="27"/>
      <c r="J45" s="36"/>
      <c r="K45" s="37"/>
      <c r="L45" s="35"/>
      <c r="O45" s="27"/>
      <c r="P45" s="36"/>
      <c r="Q45" s="37"/>
      <c r="R45" s="35"/>
      <c r="U45" s="27"/>
      <c r="V45" s="36"/>
      <c r="W45" s="37"/>
      <c r="X45" s="35"/>
    </row>
    <row r="46" spans="1:24" s="28" customFormat="1" ht="18" x14ac:dyDescent="0.25">
      <c r="C46" s="36"/>
      <c r="D46" s="80">
        <v>298.57</v>
      </c>
      <c r="E46" s="37" t="s">
        <v>152</v>
      </c>
      <c r="F46" s="35"/>
      <c r="I46" s="27"/>
      <c r="J46" s="36"/>
      <c r="K46" s="37"/>
      <c r="L46" s="35"/>
      <c r="O46" s="27"/>
      <c r="P46" s="36"/>
      <c r="Q46" s="37"/>
      <c r="R46" s="35"/>
      <c r="U46" s="27"/>
      <c r="V46" s="36"/>
      <c r="W46" s="37"/>
      <c r="X46" s="35"/>
    </row>
    <row r="47" spans="1:24" s="28" customFormat="1" ht="18" x14ac:dyDescent="0.25">
      <c r="C47" s="36"/>
      <c r="D47" s="36"/>
      <c r="E47" s="37"/>
      <c r="F47" s="35"/>
      <c r="I47" s="27"/>
      <c r="J47" s="36"/>
      <c r="K47" s="37"/>
      <c r="L47" s="35"/>
      <c r="O47" s="27"/>
      <c r="P47" s="36"/>
      <c r="Q47" s="37"/>
      <c r="R47" s="35"/>
      <c r="U47" s="27"/>
      <c r="V47" s="36"/>
      <c r="W47" s="37"/>
      <c r="X47" s="35"/>
    </row>
    <row r="48" spans="1:24" s="28" customFormat="1" ht="18" x14ac:dyDescent="0.25">
      <c r="B48" s="78">
        <v>809</v>
      </c>
      <c r="C48" s="36"/>
      <c r="D48" s="36"/>
      <c r="E48" s="37"/>
      <c r="F48" s="35"/>
      <c r="I48" s="27"/>
      <c r="J48" s="36"/>
      <c r="K48" s="37"/>
      <c r="L48" s="35"/>
      <c r="O48" s="27"/>
      <c r="P48" s="36"/>
      <c r="Q48" s="37"/>
      <c r="R48" s="35"/>
      <c r="U48" s="27"/>
      <c r="V48" s="36"/>
      <c r="W48" s="37"/>
      <c r="X48" s="35"/>
    </row>
    <row r="49" spans="1:24" s="28" customFormat="1" ht="18" x14ac:dyDescent="0.25">
      <c r="B49" s="27">
        <v>2122.44</v>
      </c>
      <c r="C49" s="36"/>
      <c r="D49" s="36"/>
      <c r="E49" s="37"/>
      <c r="F49" s="35"/>
      <c r="I49" s="27"/>
      <c r="J49" s="36"/>
      <c r="K49" s="37"/>
      <c r="L49" s="35"/>
      <c r="O49" s="27"/>
      <c r="P49" s="36"/>
      <c r="Q49" s="37"/>
      <c r="R49" s="35"/>
      <c r="U49" s="27"/>
      <c r="V49" s="36"/>
      <c r="W49" s="37"/>
      <c r="X49" s="35"/>
    </row>
    <row r="50" spans="1:24" s="28" customFormat="1" ht="18" x14ac:dyDescent="0.25">
      <c r="B50" s="27">
        <v>987.17</v>
      </c>
      <c r="C50" s="36"/>
      <c r="D50" s="36"/>
      <c r="E50" s="37"/>
      <c r="F50" s="35"/>
      <c r="I50" s="27"/>
      <c r="J50" s="36"/>
      <c r="K50" s="37"/>
      <c r="L50" s="35"/>
      <c r="O50" s="27"/>
      <c r="P50" s="36"/>
      <c r="Q50" s="37"/>
      <c r="R50" s="35"/>
      <c r="U50" s="27"/>
      <c r="V50" s="36"/>
      <c r="W50" s="37"/>
      <c r="X50" s="35"/>
    </row>
    <row r="51" spans="1:24" s="28" customFormat="1" ht="18" x14ac:dyDescent="0.25">
      <c r="B51" s="27">
        <v>7225</v>
      </c>
      <c r="C51" s="36"/>
      <c r="D51" s="36"/>
      <c r="E51" s="37"/>
      <c r="F51" s="35"/>
      <c r="I51" s="27"/>
      <c r="J51" s="36"/>
      <c r="K51" s="37"/>
      <c r="L51" s="35"/>
      <c r="O51" s="27"/>
      <c r="P51" s="36"/>
      <c r="Q51" s="37"/>
      <c r="R51" s="35"/>
      <c r="U51" s="27"/>
      <c r="V51" s="36"/>
      <c r="W51" s="37"/>
      <c r="X51" s="35"/>
    </row>
    <row r="52" spans="1:24" s="28" customFormat="1" ht="18" x14ac:dyDescent="0.25">
      <c r="B52" s="27">
        <v>1632</v>
      </c>
      <c r="C52" s="36"/>
      <c r="D52" s="36"/>
      <c r="E52" s="37"/>
      <c r="F52" s="35"/>
      <c r="I52" s="27"/>
      <c r="J52" s="36"/>
      <c r="K52" s="37"/>
      <c r="L52" s="35"/>
      <c r="O52" s="27"/>
      <c r="P52" s="36"/>
      <c r="Q52" s="37"/>
      <c r="R52" s="35"/>
      <c r="U52" s="27"/>
      <c r="V52" s="36"/>
      <c r="W52" s="37"/>
      <c r="X52" s="35"/>
    </row>
    <row r="53" spans="1:24" s="28" customFormat="1" ht="18" x14ac:dyDescent="0.25">
      <c r="B53" s="27">
        <v>23984</v>
      </c>
      <c r="C53" s="36"/>
      <c r="D53" s="36"/>
      <c r="E53" s="37"/>
      <c r="F53" s="35"/>
      <c r="J53" s="33"/>
      <c r="K53" s="34"/>
      <c r="L53" s="35"/>
      <c r="P53" s="33"/>
      <c r="Q53" s="34"/>
      <c r="R53" s="35"/>
      <c r="V53" s="33"/>
      <c r="W53" s="34"/>
      <c r="X53" s="35"/>
    </row>
    <row r="54" spans="1:24" s="28" customFormat="1" ht="18" x14ac:dyDescent="0.25">
      <c r="B54" s="27">
        <v>3522.56</v>
      </c>
      <c r="C54" s="36"/>
      <c r="D54" s="36"/>
      <c r="E54" s="37"/>
      <c r="F54" s="35"/>
      <c r="J54" s="35"/>
      <c r="K54" s="34"/>
      <c r="L54" s="35"/>
      <c r="P54" s="35"/>
      <c r="Q54" s="34"/>
      <c r="R54" s="35"/>
      <c r="V54" s="35"/>
      <c r="W54" s="34"/>
      <c r="X54" s="35"/>
    </row>
    <row r="55" spans="1:24" s="28" customFormat="1" ht="18" x14ac:dyDescent="0.25">
      <c r="B55" s="27">
        <v>7331.03</v>
      </c>
      <c r="C55" s="33"/>
      <c r="D55" s="33"/>
      <c r="E55" s="34"/>
      <c r="F55" s="35"/>
      <c r="J55" s="35"/>
      <c r="K55" s="34"/>
      <c r="L55" s="35"/>
      <c r="P55" s="35"/>
      <c r="Q55" s="34"/>
      <c r="R55" s="35"/>
      <c r="V55" s="35"/>
      <c r="W55" s="34"/>
      <c r="X55" s="35"/>
    </row>
    <row r="56" spans="1:24" s="28" customFormat="1" ht="18" x14ac:dyDescent="0.25">
      <c r="B56" s="27">
        <f>SUM(B48:B55)</f>
        <v>47613.2</v>
      </c>
      <c r="C56" s="35"/>
      <c r="D56" s="35"/>
      <c r="E56" s="34"/>
      <c r="F56" s="35"/>
      <c r="H56" s="39"/>
      <c r="J56" s="40"/>
      <c r="K56" s="27"/>
      <c r="N56" s="39"/>
      <c r="P56" s="40"/>
      <c r="Q56" s="27"/>
      <c r="T56" s="39"/>
      <c r="V56" s="40"/>
      <c r="W56" s="27"/>
    </row>
    <row r="57" spans="1:24" s="28" customFormat="1" ht="18" x14ac:dyDescent="0.25">
      <c r="B57" s="27"/>
      <c r="C57" s="35"/>
      <c r="D57" s="35"/>
      <c r="E57" s="34"/>
      <c r="F57" s="35"/>
      <c r="J57" s="41"/>
      <c r="K57" s="41"/>
      <c r="P57" s="41"/>
      <c r="Q57" s="41"/>
      <c r="V57" s="41"/>
      <c r="W57" s="41"/>
    </row>
    <row r="58" spans="1:24" s="28" customFormat="1" ht="18" x14ac:dyDescent="0.25">
      <c r="A58" s="39"/>
      <c r="B58" s="40">
        <f>D36-B56</f>
        <v>-47613.2</v>
      </c>
      <c r="C58" s="40"/>
      <c r="D58" s="40"/>
      <c r="E58" s="27"/>
      <c r="H58" s="38"/>
      <c r="I58" s="27"/>
      <c r="J58" s="27"/>
      <c r="K58" s="27"/>
      <c r="N58" s="38"/>
      <c r="O58" s="27"/>
      <c r="P58" s="27"/>
      <c r="Q58" s="27"/>
      <c r="T58" s="38"/>
      <c r="U58" s="27"/>
      <c r="V58" s="27"/>
      <c r="W58" s="27"/>
    </row>
    <row r="59" spans="1:24" s="28" customFormat="1" ht="18" x14ac:dyDescent="0.25">
      <c r="C59" s="41"/>
      <c r="D59" s="41"/>
      <c r="E59" s="41"/>
      <c r="I59" s="27"/>
      <c r="J59" s="27"/>
      <c r="K59" s="27"/>
      <c r="O59" s="27"/>
      <c r="P59" s="27"/>
      <c r="Q59" s="27"/>
      <c r="U59" s="27"/>
      <c r="V59" s="27"/>
      <c r="W59" s="27"/>
    </row>
    <row r="60" spans="1:24" s="28" customFormat="1" ht="18" x14ac:dyDescent="0.25">
      <c r="A60" s="38"/>
      <c r="B60" s="27"/>
      <c r="C60" s="27"/>
      <c r="D60" s="27"/>
      <c r="E60" s="27"/>
      <c r="I60" s="27"/>
      <c r="J60" s="27"/>
      <c r="K60" s="27"/>
      <c r="O60" s="27"/>
      <c r="P60" s="27"/>
      <c r="Q60" s="27"/>
      <c r="U60" s="27"/>
      <c r="V60" s="27"/>
      <c r="W60" s="27"/>
    </row>
    <row r="61" spans="1:24" s="28" customFormat="1" ht="18" x14ac:dyDescent="0.25">
      <c r="B61" s="27"/>
      <c r="C61" s="27"/>
      <c r="D61" s="27"/>
      <c r="E61" s="27"/>
      <c r="H61" s="38"/>
      <c r="I61" s="27"/>
      <c r="J61" s="27"/>
      <c r="K61" s="27"/>
      <c r="N61" s="38"/>
      <c r="O61" s="27"/>
      <c r="P61" s="27"/>
      <c r="Q61" s="27"/>
      <c r="T61" s="38"/>
      <c r="U61" s="27"/>
      <c r="V61" s="27"/>
      <c r="W61" s="27"/>
    </row>
    <row r="62" spans="1:24" s="28" customFormat="1" ht="18" x14ac:dyDescent="0.25">
      <c r="B62" s="27"/>
      <c r="C62" s="27"/>
      <c r="D62" s="27"/>
      <c r="E62" s="27"/>
      <c r="H62" s="38"/>
      <c r="I62" s="27"/>
      <c r="J62" s="27"/>
      <c r="K62" s="27"/>
      <c r="N62" s="38"/>
      <c r="O62" s="27"/>
      <c r="P62" s="27"/>
      <c r="Q62" s="27"/>
      <c r="T62" s="38"/>
      <c r="U62" s="27"/>
      <c r="V62" s="27"/>
      <c r="W62" s="27"/>
    </row>
    <row r="63" spans="1:24" s="28" customFormat="1" ht="18" x14ac:dyDescent="0.25">
      <c r="A63" s="38"/>
      <c r="B63" s="27"/>
      <c r="C63" s="27"/>
      <c r="D63" s="27"/>
      <c r="E63" s="27"/>
      <c r="H63" s="38"/>
      <c r="I63" s="27"/>
      <c r="J63" s="27"/>
      <c r="K63" s="27"/>
      <c r="N63" s="38"/>
      <c r="O63" s="27"/>
      <c r="P63" s="27"/>
      <c r="Q63" s="27"/>
      <c r="T63" s="38"/>
      <c r="U63" s="27"/>
      <c r="V63" s="27"/>
      <c r="W63" s="27"/>
    </row>
    <row r="64" spans="1:24" s="28" customFormat="1" ht="18" x14ac:dyDescent="0.25">
      <c r="A64" s="38"/>
      <c r="B64" s="27"/>
      <c r="C64" s="27"/>
      <c r="D64" s="27"/>
      <c r="E64" s="27"/>
      <c r="H64" s="38"/>
      <c r="I64" s="27"/>
      <c r="J64" s="27"/>
      <c r="K64" s="27"/>
      <c r="N64" s="38"/>
      <c r="O64" s="27"/>
      <c r="P64" s="27"/>
      <c r="Q64" s="27"/>
      <c r="T64" s="38"/>
      <c r="U64" s="27"/>
      <c r="V64" s="27"/>
      <c r="W64" s="27"/>
    </row>
    <row r="65" spans="1:6" s="28" customFormat="1" ht="18" x14ac:dyDescent="0.25">
      <c r="A65" s="38"/>
      <c r="B65" s="27"/>
      <c r="C65" s="27"/>
      <c r="D65" s="27"/>
      <c r="E65" s="27"/>
    </row>
    <row r="66" spans="1:6" ht="18" x14ac:dyDescent="0.25">
      <c r="A66" s="38"/>
      <c r="B66" s="27"/>
      <c r="C66" s="27"/>
      <c r="D66" s="27"/>
      <c r="E66" s="27"/>
      <c r="F66" s="28"/>
    </row>
    <row r="67" spans="1:6" x14ac:dyDescent="0.25">
      <c r="A67" s="28"/>
      <c r="B67" s="28"/>
      <c r="C67" s="28"/>
      <c r="D67" s="28"/>
      <c r="E67" s="28"/>
      <c r="F67" s="28"/>
    </row>
  </sheetData>
  <mergeCells count="13">
    <mergeCell ref="N5:O5"/>
    <mergeCell ref="T5:U5"/>
    <mergeCell ref="N6:N7"/>
    <mergeCell ref="T6:T7"/>
    <mergeCell ref="N39:O39"/>
    <mergeCell ref="T39:U39"/>
    <mergeCell ref="A5:B5"/>
    <mergeCell ref="A6:A7"/>
    <mergeCell ref="A41:B41"/>
    <mergeCell ref="H5:I5"/>
    <mergeCell ref="H6:H7"/>
    <mergeCell ref="H39:I39"/>
    <mergeCell ref="E41:F41"/>
  </mergeCells>
  <pageMargins left="0.9055118110236221" right="0.70866141732283472" top="0.74803149606299213" bottom="0.74803149606299213" header="0.31496062992125984" footer="0.31496062992125984"/>
  <pageSetup paperSize="9" scale="86" orientation="portrait" r:id="rId1"/>
  <rowBreaks count="1" manualBreakCount="1">
    <brk id="50" max="16383" man="1"/>
  </rowBreaks>
  <colBreaks count="1" manualBreakCount="1">
    <brk id="6" max="40" man="1"/>
  </col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opLeftCell="A16" zoomScaleNormal="100" workbookViewId="0">
      <selection sqref="A1:XFD1048576"/>
    </sheetView>
  </sheetViews>
  <sheetFormatPr defaultRowHeight="18.75" x14ac:dyDescent="0.3"/>
  <cols>
    <col min="1" max="1" width="27.5703125" customWidth="1"/>
    <col min="2" max="2" width="11.42578125" customWidth="1"/>
    <col min="3" max="3" width="13.140625" customWidth="1"/>
    <col min="4" max="4" width="14.42578125" customWidth="1"/>
    <col min="5" max="5" width="15" customWidth="1"/>
    <col min="6" max="6" width="16" customWidth="1"/>
    <col min="7" max="7" width="11.42578125" style="1" customWidth="1"/>
    <col min="8" max="8" width="10.5703125" bestFit="1" customWidth="1"/>
    <col min="10" max="10" width="10.5703125" customWidth="1"/>
  </cols>
  <sheetData>
    <row r="1" spans="1:10" x14ac:dyDescent="0.3">
      <c r="B1" s="1" t="s">
        <v>61</v>
      </c>
      <c r="C1" s="1"/>
      <c r="D1" s="1"/>
      <c r="E1" s="1"/>
    </row>
    <row r="2" spans="1:10" x14ac:dyDescent="0.3">
      <c r="B2" s="1" t="s">
        <v>52</v>
      </c>
      <c r="C2" s="1"/>
      <c r="D2" s="1"/>
      <c r="E2" s="1"/>
    </row>
    <row r="3" spans="1:10" x14ac:dyDescent="0.3">
      <c r="B3" s="1"/>
      <c r="C3" s="1"/>
      <c r="D3" s="1"/>
      <c r="E3" s="1"/>
    </row>
    <row r="4" spans="1:10" ht="19.5" thickBot="1" x14ac:dyDescent="0.35">
      <c r="F4" s="1"/>
      <c r="H4" s="1"/>
    </row>
    <row r="5" spans="1:10" ht="63.75" thickBot="1" x14ac:dyDescent="0.4">
      <c r="A5" s="88" t="s">
        <v>62</v>
      </c>
      <c r="B5" s="89"/>
      <c r="C5" s="8" t="s">
        <v>58</v>
      </c>
      <c r="D5" s="8" t="s">
        <v>60</v>
      </c>
      <c r="E5" s="58" t="s">
        <v>115</v>
      </c>
      <c r="F5" s="10" t="s">
        <v>39</v>
      </c>
      <c r="G5" s="2"/>
      <c r="H5" s="2"/>
      <c r="J5" s="51"/>
    </row>
    <row r="6" spans="1:10" x14ac:dyDescent="0.3">
      <c r="A6" s="90" t="s">
        <v>0</v>
      </c>
      <c r="B6" s="11" t="s">
        <v>1</v>
      </c>
      <c r="C6" s="22">
        <v>590000</v>
      </c>
      <c r="D6" s="22">
        <f>C6</f>
        <v>590000</v>
      </c>
      <c r="E6" s="18">
        <f>39656.85+40295.33+44324.47</f>
        <v>124276.65</v>
      </c>
      <c r="F6" s="14">
        <f>D6-E6</f>
        <v>465723.35</v>
      </c>
      <c r="G6" s="2"/>
    </row>
    <row r="7" spans="1:10" x14ac:dyDescent="0.3">
      <c r="A7" s="91"/>
      <c r="B7" s="3" t="s">
        <v>2</v>
      </c>
      <c r="C7" s="23">
        <f>SUM(C8:C11)</f>
        <v>28000</v>
      </c>
      <c r="D7" s="22">
        <f t="shared" ref="D7:D34" si="0">C7</f>
        <v>28000</v>
      </c>
      <c r="E7" s="17">
        <f>SUM(E8:E11)</f>
        <v>5418.21</v>
      </c>
      <c r="F7" s="15">
        <f t="shared" ref="F7:F35" si="1">D7-E7</f>
        <v>22581.79</v>
      </c>
      <c r="G7" s="2"/>
      <c r="H7" s="2"/>
    </row>
    <row r="8" spans="1:10" x14ac:dyDescent="0.3">
      <c r="A8" s="7" t="s">
        <v>3</v>
      </c>
      <c r="B8" s="4" t="s">
        <v>4</v>
      </c>
      <c r="C8" s="24">
        <v>5000</v>
      </c>
      <c r="D8" s="22">
        <f t="shared" si="0"/>
        <v>5000</v>
      </c>
      <c r="E8" s="19">
        <f>750+925+1075</f>
        <v>2750</v>
      </c>
      <c r="F8" s="16">
        <f t="shared" si="1"/>
        <v>2250</v>
      </c>
    </row>
    <row r="9" spans="1:10" x14ac:dyDescent="0.3">
      <c r="A9" s="7" t="s">
        <v>5</v>
      </c>
      <c r="B9" s="4" t="s">
        <v>6</v>
      </c>
      <c r="C9" s="24">
        <v>20000</v>
      </c>
      <c r="D9" s="22">
        <f t="shared" si="0"/>
        <v>20000</v>
      </c>
      <c r="E9" s="19">
        <f>750.22+723.76+723.76</f>
        <v>2197.7399999999998</v>
      </c>
      <c r="F9" s="16">
        <f t="shared" si="1"/>
        <v>17802.260000000002</v>
      </c>
      <c r="G9" s="2"/>
      <c r="H9" s="2"/>
    </row>
    <row r="10" spans="1:10" x14ac:dyDescent="0.3">
      <c r="A10" s="7" t="s">
        <v>7</v>
      </c>
      <c r="B10" s="4" t="s">
        <v>8</v>
      </c>
      <c r="C10" s="21"/>
      <c r="D10" s="22">
        <f t="shared" si="0"/>
        <v>0</v>
      </c>
      <c r="E10" s="19"/>
      <c r="F10" s="16">
        <f t="shared" si="1"/>
        <v>0</v>
      </c>
      <c r="G10" s="2"/>
      <c r="H10" s="2"/>
    </row>
    <row r="11" spans="1:10" x14ac:dyDescent="0.3">
      <c r="A11" s="7" t="s">
        <v>9</v>
      </c>
      <c r="B11" s="4" t="s">
        <v>10</v>
      </c>
      <c r="C11" s="24">
        <v>3000</v>
      </c>
      <c r="D11" s="22">
        <f t="shared" si="0"/>
        <v>3000</v>
      </c>
      <c r="E11" s="19">
        <f>317.08+153.39</f>
        <v>470.46999999999997</v>
      </c>
      <c r="F11" s="16">
        <f t="shared" si="1"/>
        <v>2529.5300000000002</v>
      </c>
      <c r="G11" s="2"/>
      <c r="H11" s="2"/>
    </row>
    <row r="12" spans="1:10" x14ac:dyDescent="0.3">
      <c r="A12" s="7"/>
      <c r="B12" s="4"/>
      <c r="C12" s="24"/>
      <c r="D12" s="22">
        <f t="shared" si="0"/>
        <v>0</v>
      </c>
      <c r="E12" s="19"/>
      <c r="F12" s="16"/>
    </row>
    <row r="13" spans="1:10" ht="21" x14ac:dyDescent="0.35">
      <c r="A13" s="7" t="s">
        <v>11</v>
      </c>
      <c r="B13" s="3" t="s">
        <v>12</v>
      </c>
      <c r="C13" s="23">
        <f>SUM(C14:C17)</f>
        <v>144117.59999999998</v>
      </c>
      <c r="D13" s="22">
        <f t="shared" si="0"/>
        <v>144117.59999999998</v>
      </c>
      <c r="E13" s="23">
        <f>SUM(E14:E17)</f>
        <v>29072.05</v>
      </c>
      <c r="F13" s="15">
        <f>D13-E13</f>
        <v>115045.54999999997</v>
      </c>
      <c r="H13" s="5"/>
    </row>
    <row r="14" spans="1:10" ht="21" x14ac:dyDescent="0.35">
      <c r="A14" s="7" t="s">
        <v>13</v>
      </c>
      <c r="B14" s="4" t="s">
        <v>14</v>
      </c>
      <c r="C14" s="24">
        <f>(C6+C7)*11.42%</f>
        <v>70575.599999999991</v>
      </c>
      <c r="D14" s="22">
        <f t="shared" si="0"/>
        <v>70575.599999999991</v>
      </c>
      <c r="E14" s="19">
        <f>4773.81+4821.94+5289.16</f>
        <v>14884.91</v>
      </c>
      <c r="F14" s="16">
        <f>D14-E14</f>
        <v>55690.689999999988</v>
      </c>
      <c r="H14" s="5"/>
    </row>
    <row r="15" spans="1:10" ht="21" x14ac:dyDescent="0.35">
      <c r="A15" s="7" t="s">
        <v>15</v>
      </c>
      <c r="B15" s="4" t="s">
        <v>16</v>
      </c>
      <c r="C15" s="24">
        <f>(C6+C7)*4.3%</f>
        <v>26573.999999999996</v>
      </c>
      <c r="D15" s="22">
        <f t="shared" si="0"/>
        <v>26573.999999999996</v>
      </c>
      <c r="E15" s="19">
        <f>1561.59+1620.97+1768.38</f>
        <v>4950.9400000000005</v>
      </c>
      <c r="F15" s="16">
        <f>D15-E15</f>
        <v>21623.059999999998</v>
      </c>
      <c r="H15" s="6"/>
    </row>
    <row r="16" spans="1:10" x14ac:dyDescent="0.3">
      <c r="A16" s="7" t="s">
        <v>17</v>
      </c>
      <c r="B16" s="4" t="s">
        <v>18</v>
      </c>
      <c r="C16" s="24">
        <f>(C6+C7)*4.8%</f>
        <v>29664</v>
      </c>
      <c r="D16" s="22">
        <f t="shared" si="0"/>
        <v>29664</v>
      </c>
      <c r="E16" s="19">
        <f>2022.39+2016.88+2200.55</f>
        <v>6239.8200000000006</v>
      </c>
      <c r="F16" s="16">
        <f t="shared" ref="F16:F17" si="2">D16-E16</f>
        <v>23424.18</v>
      </c>
    </row>
    <row r="17" spans="1:7" x14ac:dyDescent="0.3">
      <c r="A17" s="7" t="s">
        <v>19</v>
      </c>
      <c r="B17" s="4" t="s">
        <v>20</v>
      </c>
      <c r="C17" s="24">
        <f>(C6+C7)*2.8%</f>
        <v>17304</v>
      </c>
      <c r="D17" s="22">
        <f t="shared" si="0"/>
        <v>17304</v>
      </c>
      <c r="E17" s="19">
        <f>958.22+974.01+1064.15</f>
        <v>2996.38</v>
      </c>
      <c r="F17" s="16">
        <f t="shared" si="2"/>
        <v>14307.619999999999</v>
      </c>
    </row>
    <row r="18" spans="1:7" x14ac:dyDescent="0.3">
      <c r="A18" s="47"/>
      <c r="B18" s="4"/>
      <c r="C18" s="24"/>
      <c r="D18" s="22">
        <f t="shared" si="0"/>
        <v>0</v>
      </c>
      <c r="E18" s="19"/>
      <c r="F18" s="16"/>
    </row>
    <row r="19" spans="1:7" x14ac:dyDescent="0.3">
      <c r="A19" s="48" t="s">
        <v>40</v>
      </c>
      <c r="B19" s="4" t="s">
        <v>29</v>
      </c>
      <c r="C19" s="24">
        <f>SUM(C20:C29)</f>
        <v>104638</v>
      </c>
      <c r="D19" s="22">
        <f t="shared" si="0"/>
        <v>104638</v>
      </c>
      <c r="E19" s="17">
        <f>SUM(E20:E29)</f>
        <v>26575.230000000003</v>
      </c>
      <c r="F19" s="15">
        <f t="shared" si="1"/>
        <v>78062.76999999999</v>
      </c>
      <c r="G19" s="52"/>
    </row>
    <row r="20" spans="1:7" x14ac:dyDescent="0.3">
      <c r="A20" s="43" t="s">
        <v>21</v>
      </c>
      <c r="B20" s="44" t="s">
        <v>22</v>
      </c>
      <c r="C20" s="45">
        <v>35000</v>
      </c>
      <c r="D20" s="22">
        <f t="shared" si="0"/>
        <v>35000</v>
      </c>
      <c r="E20" s="49">
        <f>3246+3872+3105.5+3168</f>
        <v>13391.5</v>
      </c>
      <c r="F20" s="16">
        <f t="shared" si="1"/>
        <v>21608.5</v>
      </c>
    </row>
    <row r="21" spans="1:7" x14ac:dyDescent="0.3">
      <c r="A21" s="43" t="s">
        <v>41</v>
      </c>
      <c r="B21" s="44" t="s">
        <v>30</v>
      </c>
      <c r="C21" s="45"/>
      <c r="D21" s="22">
        <f t="shared" si="0"/>
        <v>0</v>
      </c>
      <c r="E21" s="46"/>
      <c r="F21" s="15"/>
    </row>
    <row r="22" spans="1:7" x14ac:dyDescent="0.3">
      <c r="A22" s="43" t="s">
        <v>42</v>
      </c>
      <c r="B22" s="44" t="s">
        <v>31</v>
      </c>
      <c r="C22" s="45">
        <v>1000</v>
      </c>
      <c r="D22" s="22">
        <f t="shared" si="0"/>
        <v>1000</v>
      </c>
      <c r="E22" s="49"/>
      <c r="F22" s="16">
        <f t="shared" si="1"/>
        <v>1000</v>
      </c>
    </row>
    <row r="23" spans="1:7" x14ac:dyDescent="0.3">
      <c r="A23" s="7" t="s">
        <v>23</v>
      </c>
      <c r="B23" s="12" t="s">
        <v>24</v>
      </c>
      <c r="C23" s="21"/>
      <c r="D23" s="22">
        <f t="shared" si="0"/>
        <v>0</v>
      </c>
      <c r="E23" s="19"/>
      <c r="F23" s="16">
        <f t="shared" si="1"/>
        <v>0</v>
      </c>
    </row>
    <row r="24" spans="1:7" x14ac:dyDescent="0.3">
      <c r="A24" s="7" t="s">
        <v>32</v>
      </c>
      <c r="B24" s="12" t="s">
        <v>33</v>
      </c>
      <c r="C24" s="24">
        <v>10000</v>
      </c>
      <c r="D24" s="22">
        <f t="shared" si="0"/>
        <v>10000</v>
      </c>
      <c r="E24" s="19">
        <f>410.08+3595.84+620.4+2669.94</f>
        <v>7296.26</v>
      </c>
      <c r="F24" s="16">
        <f>D24-E24</f>
        <v>2703.74</v>
      </c>
    </row>
    <row r="25" spans="1:7" x14ac:dyDescent="0.3">
      <c r="A25" s="7" t="s">
        <v>34</v>
      </c>
      <c r="B25" s="4" t="s">
        <v>35</v>
      </c>
      <c r="C25" s="24">
        <v>16638</v>
      </c>
      <c r="D25" s="22">
        <f t="shared" si="0"/>
        <v>16638</v>
      </c>
      <c r="E25" s="19">
        <f>233.79+240.68+242.51+345.23</f>
        <v>1062.21</v>
      </c>
      <c r="F25" s="16">
        <f>D25-E25</f>
        <v>15575.79</v>
      </c>
    </row>
    <row r="26" spans="1:7" x14ac:dyDescent="0.3">
      <c r="A26" s="42" t="s">
        <v>44</v>
      </c>
      <c r="B26" s="12" t="s">
        <v>25</v>
      </c>
      <c r="C26" s="24">
        <v>30000</v>
      </c>
      <c r="D26" s="22">
        <f t="shared" si="0"/>
        <v>30000</v>
      </c>
      <c r="E26" s="19">
        <f>584.22+2186.87+656.74+1297.43</f>
        <v>4725.26</v>
      </c>
      <c r="F26" s="15">
        <f t="shared" si="1"/>
        <v>25274.739999999998</v>
      </c>
    </row>
    <row r="27" spans="1:7" x14ac:dyDescent="0.3">
      <c r="A27" s="42" t="s">
        <v>36</v>
      </c>
      <c r="B27" s="12" t="s">
        <v>37</v>
      </c>
      <c r="C27" s="24">
        <v>10000</v>
      </c>
      <c r="D27" s="22">
        <f t="shared" si="0"/>
        <v>10000</v>
      </c>
      <c r="E27" s="19"/>
      <c r="F27" s="16">
        <f t="shared" si="1"/>
        <v>10000</v>
      </c>
    </row>
    <row r="28" spans="1:7" x14ac:dyDescent="0.3">
      <c r="A28" s="42" t="s">
        <v>45</v>
      </c>
      <c r="B28" s="12" t="s">
        <v>38</v>
      </c>
      <c r="C28" s="24">
        <v>2000</v>
      </c>
      <c r="D28" s="22">
        <f t="shared" si="0"/>
        <v>2000</v>
      </c>
      <c r="E28" s="19">
        <f>50+50</f>
        <v>100</v>
      </c>
      <c r="F28" s="16">
        <f t="shared" si="1"/>
        <v>1900</v>
      </c>
    </row>
    <row r="29" spans="1:7" x14ac:dyDescent="0.3">
      <c r="A29" s="42" t="s">
        <v>46</v>
      </c>
      <c r="B29" s="12" t="s">
        <v>49</v>
      </c>
      <c r="C29" s="24"/>
      <c r="D29" s="22">
        <f t="shared" si="0"/>
        <v>0</v>
      </c>
      <c r="E29" s="19"/>
      <c r="F29" s="16"/>
    </row>
    <row r="30" spans="1:7" x14ac:dyDescent="0.3">
      <c r="A30" s="42" t="s">
        <v>47</v>
      </c>
      <c r="B30" s="12" t="s">
        <v>50</v>
      </c>
      <c r="C30" s="24">
        <v>300</v>
      </c>
      <c r="D30" s="22">
        <f t="shared" si="0"/>
        <v>300</v>
      </c>
      <c r="E30" s="19">
        <v>280.86</v>
      </c>
      <c r="F30" s="16">
        <f t="shared" si="1"/>
        <v>19.139999999999986</v>
      </c>
    </row>
    <row r="31" spans="1:7" x14ac:dyDescent="0.3">
      <c r="A31" s="7" t="s">
        <v>48</v>
      </c>
      <c r="B31" s="12" t="s">
        <v>51</v>
      </c>
      <c r="C31" s="24"/>
      <c r="D31" s="22">
        <f t="shared" si="0"/>
        <v>0</v>
      </c>
      <c r="E31" s="19"/>
      <c r="F31" s="16">
        <f t="shared" si="1"/>
        <v>0</v>
      </c>
    </row>
    <row r="32" spans="1:7" ht="18" x14ac:dyDescent="0.25">
      <c r="A32" s="7" t="s">
        <v>74</v>
      </c>
      <c r="B32" s="12" t="s">
        <v>72</v>
      </c>
      <c r="C32" s="24">
        <v>1200</v>
      </c>
      <c r="D32" s="22">
        <f t="shared" si="0"/>
        <v>1200</v>
      </c>
      <c r="E32" s="7"/>
      <c r="F32" s="7"/>
      <c r="G32"/>
    </row>
    <row r="33" spans="1:7" ht="18" x14ac:dyDescent="0.25">
      <c r="A33" s="7" t="s">
        <v>75</v>
      </c>
      <c r="B33" s="12" t="s">
        <v>73</v>
      </c>
      <c r="C33" s="24">
        <v>3000</v>
      </c>
      <c r="D33" s="22">
        <f t="shared" si="0"/>
        <v>3000</v>
      </c>
      <c r="E33" s="7"/>
      <c r="F33" s="7"/>
      <c r="G33"/>
    </row>
    <row r="34" spans="1:7" x14ac:dyDescent="0.3">
      <c r="A34" s="13" t="s">
        <v>26</v>
      </c>
      <c r="B34" s="12" t="s">
        <v>27</v>
      </c>
      <c r="C34" s="25">
        <v>15985</v>
      </c>
      <c r="D34" s="22">
        <f t="shared" si="0"/>
        <v>15985</v>
      </c>
      <c r="E34" s="19"/>
      <c r="F34" s="16">
        <f t="shared" si="1"/>
        <v>15985</v>
      </c>
    </row>
    <row r="35" spans="1:7" x14ac:dyDescent="0.3">
      <c r="C35" s="24"/>
      <c r="D35" s="24"/>
      <c r="E35" s="19"/>
      <c r="F35" s="16">
        <f t="shared" si="1"/>
        <v>0</v>
      </c>
    </row>
    <row r="36" spans="1:7" x14ac:dyDescent="0.3">
      <c r="B36" t="s">
        <v>28</v>
      </c>
      <c r="C36" s="26">
        <f>C6+C7+C13+C19+C30+C31+C32+C33</f>
        <v>871255.6</v>
      </c>
      <c r="D36" s="26">
        <f>D6+D7+D13+D19+D30+D31+D32+D33</f>
        <v>871255.6</v>
      </c>
      <c r="E36" s="55">
        <f>E6+E7+E13+E19+E30+E31</f>
        <v>185623</v>
      </c>
      <c r="F36" s="55">
        <f>F6+F7+F13+F19+F30+F31</f>
        <v>681432.6</v>
      </c>
    </row>
    <row r="37" spans="1:7" x14ac:dyDescent="0.3">
      <c r="C37" s="50"/>
      <c r="D37" s="50"/>
      <c r="E37" s="20"/>
    </row>
    <row r="38" spans="1:7" x14ac:dyDescent="0.3">
      <c r="A38" s="1" t="s">
        <v>53</v>
      </c>
      <c r="C38" s="50"/>
      <c r="D38" s="50"/>
      <c r="E38" s="56" t="s">
        <v>54</v>
      </c>
      <c r="G38" s="2"/>
    </row>
    <row r="39" spans="1:7" x14ac:dyDescent="0.3">
      <c r="C39" s="50"/>
      <c r="D39" s="50"/>
      <c r="E39" s="20"/>
      <c r="G39" s="2"/>
    </row>
    <row r="40" spans="1:7" s="28" customFormat="1" x14ac:dyDescent="0.3">
      <c r="E40" s="29"/>
      <c r="G40" s="53"/>
    </row>
    <row r="41" spans="1:7" s="28" customFormat="1" ht="21" x14ac:dyDescent="0.35">
      <c r="A41" s="92"/>
      <c r="B41" s="92"/>
      <c r="C41" s="30">
        <f>C34-809.76</f>
        <v>15175.24</v>
      </c>
      <c r="D41" s="30"/>
      <c r="E41" s="31"/>
      <c r="F41" s="32"/>
      <c r="G41" s="53"/>
    </row>
    <row r="42" spans="1:7" s="28" customFormat="1" x14ac:dyDescent="0.3">
      <c r="B42" s="27"/>
      <c r="C42" s="33"/>
      <c r="D42" s="33"/>
      <c r="E42" s="34"/>
      <c r="F42" s="35"/>
      <c r="G42" s="53"/>
    </row>
    <row r="43" spans="1:7" s="28" customFormat="1" x14ac:dyDescent="0.3">
      <c r="B43" s="27"/>
      <c r="C43" s="36"/>
      <c r="D43" s="36"/>
      <c r="E43" s="37"/>
      <c r="F43" s="35"/>
      <c r="G43" s="53"/>
    </row>
    <row r="44" spans="1:7" s="28" customFormat="1" x14ac:dyDescent="0.3">
      <c r="B44" s="27"/>
      <c r="C44" s="36"/>
      <c r="D44" s="36"/>
      <c r="E44" s="37"/>
      <c r="F44" s="35"/>
      <c r="G44" s="53"/>
    </row>
    <row r="45" spans="1:7" s="28" customFormat="1" x14ac:dyDescent="0.3">
      <c r="B45" s="27"/>
      <c r="C45" s="36"/>
      <c r="D45" s="36"/>
      <c r="E45" s="37"/>
      <c r="F45" s="35"/>
      <c r="G45" s="53"/>
    </row>
    <row r="46" spans="1:7" s="28" customFormat="1" x14ac:dyDescent="0.3">
      <c r="B46" s="27"/>
      <c r="C46" s="36"/>
      <c r="D46" s="36"/>
      <c r="E46" s="37"/>
      <c r="F46" s="35"/>
      <c r="G46" s="53"/>
    </row>
    <row r="47" spans="1:7" s="28" customFormat="1" x14ac:dyDescent="0.3">
      <c r="B47" s="27"/>
      <c r="C47" s="36"/>
      <c r="D47" s="36"/>
      <c r="E47" s="37"/>
      <c r="F47" s="35"/>
      <c r="G47" s="53"/>
    </row>
    <row r="48" spans="1:7" s="28" customFormat="1" x14ac:dyDescent="0.3">
      <c r="B48" s="27"/>
      <c r="C48" s="36"/>
      <c r="D48" s="36"/>
      <c r="E48" s="37"/>
      <c r="F48" s="35"/>
      <c r="G48" s="53"/>
    </row>
    <row r="49" spans="1:7" s="28" customFormat="1" x14ac:dyDescent="0.3">
      <c r="B49" s="27"/>
      <c r="C49" s="36"/>
      <c r="D49" s="36"/>
      <c r="E49" s="37"/>
      <c r="F49" s="35"/>
      <c r="G49" s="53"/>
    </row>
    <row r="50" spans="1:7" s="28" customFormat="1" x14ac:dyDescent="0.3">
      <c r="B50" s="27"/>
      <c r="C50" s="36"/>
      <c r="D50" s="36"/>
      <c r="E50" s="37"/>
      <c r="F50" s="35"/>
      <c r="G50" s="54"/>
    </row>
    <row r="51" spans="1:7" s="28" customFormat="1" x14ac:dyDescent="0.3">
      <c r="B51" s="27"/>
      <c r="C51" s="36"/>
      <c r="D51" s="36"/>
      <c r="E51" s="37"/>
      <c r="F51" s="35"/>
      <c r="G51" s="53"/>
    </row>
    <row r="52" spans="1:7" s="28" customFormat="1" x14ac:dyDescent="0.3">
      <c r="B52" s="27"/>
      <c r="C52" s="36"/>
      <c r="D52" s="36"/>
      <c r="E52" s="37"/>
      <c r="F52" s="35"/>
      <c r="G52" s="53"/>
    </row>
    <row r="53" spans="1:7" s="28" customFormat="1" x14ac:dyDescent="0.3">
      <c r="B53" s="27"/>
      <c r="C53" s="36"/>
      <c r="D53" s="36"/>
      <c r="E53" s="37"/>
      <c r="F53" s="35"/>
      <c r="G53" s="53"/>
    </row>
    <row r="54" spans="1:7" s="28" customFormat="1" x14ac:dyDescent="0.3">
      <c r="B54" s="27"/>
      <c r="C54" s="36"/>
      <c r="D54" s="36"/>
      <c r="E54" s="37"/>
      <c r="F54" s="35"/>
      <c r="G54" s="53"/>
    </row>
    <row r="55" spans="1:7" s="28" customFormat="1" x14ac:dyDescent="0.3">
      <c r="C55" s="33"/>
      <c r="D55" s="33"/>
      <c r="E55" s="34"/>
      <c r="F55" s="35"/>
      <c r="G55" s="53"/>
    </row>
    <row r="56" spans="1:7" s="28" customFormat="1" x14ac:dyDescent="0.3">
      <c r="C56" s="35"/>
      <c r="D56" s="35"/>
      <c r="E56" s="34"/>
      <c r="F56" s="35"/>
      <c r="G56" s="53"/>
    </row>
    <row r="57" spans="1:7" s="28" customFormat="1" x14ac:dyDescent="0.3">
      <c r="C57" s="35"/>
      <c r="D57" s="35"/>
      <c r="E57" s="34"/>
      <c r="F57" s="35"/>
      <c r="G57" s="53"/>
    </row>
    <row r="58" spans="1:7" s="28" customFormat="1" x14ac:dyDescent="0.3">
      <c r="A58" s="39"/>
      <c r="C58" s="40"/>
      <c r="D58" s="40"/>
      <c r="E58" s="27"/>
      <c r="G58" s="53"/>
    </row>
    <row r="59" spans="1:7" s="28" customFormat="1" x14ac:dyDescent="0.3">
      <c r="C59" s="41"/>
      <c r="D59" s="41"/>
      <c r="E59" s="41"/>
      <c r="G59" s="53"/>
    </row>
    <row r="60" spans="1:7" s="28" customFormat="1" x14ac:dyDescent="0.3">
      <c r="A60" s="38"/>
      <c r="B60" s="27"/>
      <c r="C60" s="27"/>
      <c r="D60" s="27"/>
      <c r="E60" s="27"/>
      <c r="G60" s="53"/>
    </row>
    <row r="61" spans="1:7" s="28" customFormat="1" x14ac:dyDescent="0.3">
      <c r="B61" s="27"/>
      <c r="C61" s="27"/>
      <c r="D61" s="27"/>
      <c r="E61" s="27"/>
      <c r="G61" s="53"/>
    </row>
    <row r="62" spans="1:7" s="28" customFormat="1" x14ac:dyDescent="0.3">
      <c r="B62" s="27"/>
      <c r="C62" s="27"/>
      <c r="D62" s="27"/>
      <c r="E62" s="27"/>
      <c r="G62" s="53"/>
    </row>
    <row r="63" spans="1:7" s="28" customFormat="1" x14ac:dyDescent="0.3">
      <c r="A63" s="38"/>
      <c r="B63" s="27"/>
      <c r="C63" s="27"/>
      <c r="D63" s="27"/>
      <c r="E63" s="27"/>
      <c r="G63" s="53"/>
    </row>
    <row r="64" spans="1:7" s="28" customFormat="1" x14ac:dyDescent="0.3">
      <c r="A64" s="38"/>
      <c r="B64" s="27"/>
      <c r="C64" s="27"/>
      <c r="D64" s="27"/>
      <c r="E64" s="27"/>
      <c r="G64" s="53"/>
    </row>
    <row r="65" spans="1:7" s="28" customFormat="1" x14ac:dyDescent="0.3">
      <c r="A65" s="38"/>
      <c r="B65" s="27"/>
      <c r="C65" s="27"/>
      <c r="D65" s="27"/>
      <c r="E65" s="27"/>
      <c r="G65" s="53"/>
    </row>
    <row r="66" spans="1:7" s="28" customFormat="1" x14ac:dyDescent="0.3">
      <c r="A66" s="38"/>
      <c r="B66" s="27"/>
      <c r="C66" s="27"/>
      <c r="D66" s="27"/>
      <c r="E66" s="27"/>
      <c r="G66" s="53"/>
    </row>
    <row r="67" spans="1:7" s="28" customFormat="1" x14ac:dyDescent="0.3">
      <c r="G67" s="53"/>
    </row>
  </sheetData>
  <mergeCells count="3">
    <mergeCell ref="A5:B5"/>
    <mergeCell ref="A6:A7"/>
    <mergeCell ref="A41:B41"/>
  </mergeCells>
  <pageMargins left="0.70866141732283472" right="0" top="0.74803149606299213" bottom="0.74803149606299213" header="0.31496062992125984" footer="0.31496062992125984"/>
  <pageSetup paperSize="9" scale="90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"/>
  <sheetViews>
    <sheetView topLeftCell="A6" workbookViewId="0">
      <selection activeCell="E6" sqref="E6"/>
    </sheetView>
  </sheetViews>
  <sheetFormatPr defaultRowHeight="15" x14ac:dyDescent="0.25"/>
  <cols>
    <col min="1" max="1" width="27.5703125" customWidth="1"/>
    <col min="2" max="2" width="11.42578125" customWidth="1"/>
    <col min="3" max="3" width="13.140625" customWidth="1"/>
    <col min="4" max="4" width="14.42578125" customWidth="1"/>
    <col min="5" max="5" width="15" customWidth="1"/>
    <col min="6" max="6" width="16" customWidth="1"/>
    <col min="7" max="7" width="10.5703125" bestFit="1" customWidth="1"/>
    <col min="9" max="9" width="28.85546875" customWidth="1"/>
    <col min="10" max="10" width="11.42578125" customWidth="1"/>
    <col min="11" max="11" width="14.28515625" customWidth="1"/>
    <col min="12" max="12" width="15" customWidth="1"/>
    <col min="13" max="13" width="14.5703125" customWidth="1"/>
  </cols>
  <sheetData>
    <row r="1" spans="1:13" ht="18.75" x14ac:dyDescent="0.3">
      <c r="B1" s="1" t="s">
        <v>61</v>
      </c>
      <c r="C1" s="1"/>
      <c r="D1" s="1"/>
      <c r="E1" s="1"/>
      <c r="J1" s="1" t="s">
        <v>55</v>
      </c>
      <c r="L1" s="1"/>
    </row>
    <row r="2" spans="1:13" ht="18.75" x14ac:dyDescent="0.3">
      <c r="B2" s="1" t="s">
        <v>52</v>
      </c>
      <c r="C2" s="1"/>
      <c r="D2" s="1"/>
      <c r="E2" s="1"/>
      <c r="J2" s="1" t="s">
        <v>52</v>
      </c>
      <c r="L2" s="1"/>
    </row>
    <row r="3" spans="1:13" ht="18.75" x14ac:dyDescent="0.3">
      <c r="B3" s="1"/>
      <c r="C3" s="1"/>
      <c r="D3" s="1"/>
      <c r="E3" s="1"/>
      <c r="J3" s="1"/>
      <c r="K3" s="1"/>
      <c r="L3" s="1"/>
    </row>
    <row r="4" spans="1:13" ht="19.5" thickBot="1" x14ac:dyDescent="0.35">
      <c r="F4" s="1"/>
      <c r="G4" s="1"/>
      <c r="M4" s="1"/>
    </row>
    <row r="5" spans="1:13" ht="63.75" thickBot="1" x14ac:dyDescent="0.4">
      <c r="A5" s="88" t="s">
        <v>62</v>
      </c>
      <c r="B5" s="89"/>
      <c r="C5" s="8" t="s">
        <v>58</v>
      </c>
      <c r="D5" s="8" t="s">
        <v>60</v>
      </c>
      <c r="E5" s="58" t="s">
        <v>116</v>
      </c>
      <c r="F5" s="10" t="s">
        <v>39</v>
      </c>
      <c r="G5" s="2"/>
      <c r="I5" s="88" t="s">
        <v>43</v>
      </c>
      <c r="J5" s="89"/>
      <c r="K5" s="8" t="s">
        <v>117</v>
      </c>
      <c r="L5" s="9" t="s">
        <v>116</v>
      </c>
      <c r="M5" s="10" t="s">
        <v>39</v>
      </c>
    </row>
    <row r="6" spans="1:13" ht="18.75" x14ac:dyDescent="0.3">
      <c r="A6" s="90" t="s">
        <v>0</v>
      </c>
      <c r="B6" s="11" t="s">
        <v>1</v>
      </c>
      <c r="C6" s="22">
        <v>590000</v>
      </c>
      <c r="D6" s="22">
        <f>C6</f>
        <v>590000</v>
      </c>
      <c r="E6" s="18">
        <f>39656.85+40295.33+44324.47+50538.33</f>
        <v>174814.97999999998</v>
      </c>
      <c r="F6" s="14">
        <f>D6-E6</f>
        <v>415185.02</v>
      </c>
      <c r="I6" s="90" t="s">
        <v>0</v>
      </c>
      <c r="J6" s="11" t="s">
        <v>1</v>
      </c>
      <c r="K6" s="22"/>
      <c r="L6" s="18"/>
      <c r="M6" s="14">
        <f>K6-L6</f>
        <v>0</v>
      </c>
    </row>
    <row r="7" spans="1:13" ht="18.75" x14ac:dyDescent="0.3">
      <c r="A7" s="91"/>
      <c r="B7" s="3" t="s">
        <v>2</v>
      </c>
      <c r="C7" s="23">
        <f>SUM(C8:C11)</f>
        <v>28000</v>
      </c>
      <c r="D7" s="22">
        <f t="shared" ref="D7:D34" si="0">C7</f>
        <v>28000</v>
      </c>
      <c r="E7" s="17">
        <f>SUM(E8:E11)</f>
        <v>7409.11</v>
      </c>
      <c r="F7" s="15">
        <f t="shared" ref="F7:F35" si="1">D7-E7</f>
        <v>20590.89</v>
      </c>
      <c r="G7" s="2"/>
      <c r="I7" s="91"/>
      <c r="J7" s="3" t="s">
        <v>2</v>
      </c>
      <c r="K7" s="23"/>
      <c r="L7" s="17"/>
      <c r="M7" s="15">
        <f t="shared" ref="M7:M11" si="2">K7-L7</f>
        <v>0</v>
      </c>
    </row>
    <row r="8" spans="1:13" ht="18.75" x14ac:dyDescent="0.3">
      <c r="A8" s="7" t="s">
        <v>3</v>
      </c>
      <c r="B8" s="4" t="s">
        <v>4</v>
      </c>
      <c r="C8" s="24">
        <v>5000</v>
      </c>
      <c r="D8" s="22">
        <f t="shared" si="0"/>
        <v>5000</v>
      </c>
      <c r="E8" s="19">
        <f>750+925+1075+1000</f>
        <v>3750</v>
      </c>
      <c r="F8" s="16">
        <f t="shared" si="1"/>
        <v>1250</v>
      </c>
      <c r="I8" s="7" t="s">
        <v>3</v>
      </c>
      <c r="J8" s="4" t="s">
        <v>4</v>
      </c>
      <c r="K8" s="24"/>
      <c r="L8" s="19"/>
      <c r="M8" s="16">
        <f t="shared" si="2"/>
        <v>0</v>
      </c>
    </row>
    <row r="9" spans="1:13" ht="18.75" x14ac:dyDescent="0.3">
      <c r="A9" s="7" t="s">
        <v>5</v>
      </c>
      <c r="B9" s="4" t="s">
        <v>6</v>
      </c>
      <c r="C9" s="24">
        <v>20000</v>
      </c>
      <c r="D9" s="22">
        <f t="shared" si="0"/>
        <v>20000</v>
      </c>
      <c r="E9" s="19">
        <f>750.22+723.76+723.76+723.76</f>
        <v>2921.5</v>
      </c>
      <c r="F9" s="16">
        <f t="shared" si="1"/>
        <v>17078.5</v>
      </c>
      <c r="G9" s="2"/>
      <c r="I9" s="7" t="s">
        <v>5</v>
      </c>
      <c r="J9" s="4" t="s">
        <v>6</v>
      </c>
      <c r="K9" s="24"/>
      <c r="L9" s="19"/>
      <c r="M9" s="16">
        <f t="shared" si="2"/>
        <v>0</v>
      </c>
    </row>
    <row r="10" spans="1:13" ht="18.75" x14ac:dyDescent="0.3">
      <c r="A10" s="7" t="s">
        <v>7</v>
      </c>
      <c r="B10" s="4" t="s">
        <v>8</v>
      </c>
      <c r="C10" s="21"/>
      <c r="D10" s="22">
        <f t="shared" si="0"/>
        <v>0</v>
      </c>
      <c r="E10" s="19"/>
      <c r="F10" s="16">
        <f t="shared" si="1"/>
        <v>0</v>
      </c>
      <c r="G10" s="2"/>
      <c r="I10" s="7" t="s">
        <v>7</v>
      </c>
      <c r="J10" s="4" t="s">
        <v>8</v>
      </c>
      <c r="K10" s="21"/>
      <c r="L10" s="19"/>
      <c r="M10" s="16">
        <f t="shared" si="2"/>
        <v>0</v>
      </c>
    </row>
    <row r="11" spans="1:13" ht="18.75" x14ac:dyDescent="0.3">
      <c r="A11" s="7" t="s">
        <v>9</v>
      </c>
      <c r="B11" s="4" t="s">
        <v>10</v>
      </c>
      <c r="C11" s="24">
        <v>3000</v>
      </c>
      <c r="D11" s="22">
        <f t="shared" si="0"/>
        <v>3000</v>
      </c>
      <c r="E11" s="19">
        <f>317.08+153.39+267.14</f>
        <v>737.6099999999999</v>
      </c>
      <c r="F11" s="16">
        <f t="shared" si="1"/>
        <v>2262.3900000000003</v>
      </c>
      <c r="G11" s="2"/>
      <c r="I11" s="7" t="s">
        <v>9</v>
      </c>
      <c r="J11" s="4" t="s">
        <v>10</v>
      </c>
      <c r="K11" s="24"/>
      <c r="L11" s="19"/>
      <c r="M11" s="16">
        <f t="shared" si="2"/>
        <v>0</v>
      </c>
    </row>
    <row r="12" spans="1:13" ht="18.75" x14ac:dyDescent="0.3">
      <c r="A12" s="7"/>
      <c r="B12" s="4"/>
      <c r="C12" s="24"/>
      <c r="D12" s="22">
        <f t="shared" si="0"/>
        <v>0</v>
      </c>
      <c r="E12" s="19"/>
      <c r="F12" s="16"/>
      <c r="I12" s="7"/>
      <c r="J12" s="4"/>
      <c r="K12" s="24"/>
      <c r="L12" s="19"/>
      <c r="M12" s="16"/>
    </row>
    <row r="13" spans="1:13" ht="21" x14ac:dyDescent="0.35">
      <c r="A13" s="7" t="s">
        <v>11</v>
      </c>
      <c r="B13" s="3" t="s">
        <v>12</v>
      </c>
      <c r="C13" s="23">
        <f>SUM(C14:C17)</f>
        <v>144117.59999999998</v>
      </c>
      <c r="D13" s="22">
        <f t="shared" si="0"/>
        <v>144117.59999999998</v>
      </c>
      <c r="E13" s="23">
        <f>SUM(E14:E17)</f>
        <v>40937.26</v>
      </c>
      <c r="F13" s="15">
        <f>D13-E13</f>
        <v>103180.33999999997</v>
      </c>
      <c r="G13" s="5"/>
      <c r="I13" s="7" t="s">
        <v>11</v>
      </c>
      <c r="J13" s="3" t="s">
        <v>12</v>
      </c>
      <c r="K13" s="23"/>
      <c r="L13" s="23"/>
      <c r="M13" s="15">
        <f>K13-L13</f>
        <v>0</v>
      </c>
    </row>
    <row r="14" spans="1:13" ht="21" x14ac:dyDescent="0.35">
      <c r="A14" s="7" t="s">
        <v>13</v>
      </c>
      <c r="B14" s="4" t="s">
        <v>14</v>
      </c>
      <c r="C14" s="24">
        <f>(C6+C7)*11.42%</f>
        <v>70575.599999999991</v>
      </c>
      <c r="D14" s="22">
        <f t="shared" si="0"/>
        <v>70575.599999999991</v>
      </c>
      <c r="E14" s="19">
        <f>4773.81+4821.94+5289.16+6088.51</f>
        <v>20973.42</v>
      </c>
      <c r="F14" s="16">
        <f>D14-E14</f>
        <v>49602.179999999993</v>
      </c>
      <c r="G14" s="5"/>
      <c r="I14" s="7" t="s">
        <v>13</v>
      </c>
      <c r="J14" s="4" t="s">
        <v>14</v>
      </c>
      <c r="K14" s="24"/>
      <c r="L14" s="19"/>
      <c r="M14" s="16">
        <f>K14-L14</f>
        <v>0</v>
      </c>
    </row>
    <row r="15" spans="1:13" ht="21" x14ac:dyDescent="0.35">
      <c r="A15" s="7" t="s">
        <v>15</v>
      </c>
      <c r="B15" s="4" t="s">
        <v>16</v>
      </c>
      <c r="C15" s="24">
        <f>(C6+C7)*4.3%</f>
        <v>26573.999999999996</v>
      </c>
      <c r="D15" s="22">
        <f t="shared" si="0"/>
        <v>26573.999999999996</v>
      </c>
      <c r="E15" s="19">
        <f>1561.59+1620.97+1768.38+1992.04</f>
        <v>6942.9800000000005</v>
      </c>
      <c r="F15" s="16">
        <f>D15-E15</f>
        <v>19631.019999999997</v>
      </c>
      <c r="G15" s="6"/>
      <c r="I15" s="7" t="s">
        <v>15</v>
      </c>
      <c r="J15" s="4" t="s">
        <v>16</v>
      </c>
      <c r="K15" s="24"/>
      <c r="L15" s="19"/>
      <c r="M15" s="16">
        <f>K15-L15</f>
        <v>0</v>
      </c>
    </row>
    <row r="16" spans="1:13" ht="18.75" x14ac:dyDescent="0.3">
      <c r="A16" s="7" t="s">
        <v>17</v>
      </c>
      <c r="B16" s="4" t="s">
        <v>18</v>
      </c>
      <c r="C16" s="24">
        <f>(C6+C7)*4.8%</f>
        <v>29664</v>
      </c>
      <c r="D16" s="22">
        <f t="shared" si="0"/>
        <v>29664</v>
      </c>
      <c r="E16" s="19">
        <f>2022.39+2016.88+2200.55+2549.61</f>
        <v>8789.43</v>
      </c>
      <c r="F16" s="16">
        <f t="shared" ref="F16:F17" si="3">D16-E16</f>
        <v>20874.57</v>
      </c>
      <c r="I16" s="7" t="s">
        <v>17</v>
      </c>
      <c r="J16" s="4" t="s">
        <v>18</v>
      </c>
      <c r="K16" s="24"/>
      <c r="L16" s="19"/>
      <c r="M16" s="16">
        <f t="shared" ref="M16:M17" si="4">K16-L16</f>
        <v>0</v>
      </c>
    </row>
    <row r="17" spans="1:13" ht="18.75" x14ac:dyDescent="0.3">
      <c r="A17" s="7" t="s">
        <v>19</v>
      </c>
      <c r="B17" s="4" t="s">
        <v>20</v>
      </c>
      <c r="C17" s="24">
        <f>(C6+C7)*2.8%</f>
        <v>17304</v>
      </c>
      <c r="D17" s="22">
        <f t="shared" si="0"/>
        <v>17304</v>
      </c>
      <c r="E17" s="19">
        <f>958.22+974.01+1064.15+1235.05</f>
        <v>4231.43</v>
      </c>
      <c r="F17" s="16">
        <f t="shared" si="3"/>
        <v>13072.57</v>
      </c>
      <c r="I17" s="7" t="s">
        <v>19</v>
      </c>
      <c r="J17" s="4" t="s">
        <v>20</v>
      </c>
      <c r="K17" s="24"/>
      <c r="L17" s="19"/>
      <c r="M17" s="16">
        <f t="shared" si="4"/>
        <v>0</v>
      </c>
    </row>
    <row r="18" spans="1:13" ht="18.75" x14ac:dyDescent="0.3">
      <c r="A18" s="47"/>
      <c r="B18" s="4"/>
      <c r="C18" s="24"/>
      <c r="D18" s="22">
        <f t="shared" si="0"/>
        <v>0</v>
      </c>
      <c r="E18" s="19"/>
      <c r="F18" s="16"/>
      <c r="I18" s="47"/>
      <c r="J18" s="4"/>
      <c r="K18" s="24"/>
      <c r="L18" s="19"/>
      <c r="M18" s="16"/>
    </row>
    <row r="19" spans="1:13" ht="18.75" x14ac:dyDescent="0.3">
      <c r="A19" s="48" t="s">
        <v>40</v>
      </c>
      <c r="B19" s="4" t="s">
        <v>29</v>
      </c>
      <c r="C19" s="24">
        <f>SUM(C20:C29)</f>
        <v>104638</v>
      </c>
      <c r="D19" s="22">
        <f t="shared" si="0"/>
        <v>104638</v>
      </c>
      <c r="E19" s="17">
        <f>SUM(E20:E29)</f>
        <v>35027.54</v>
      </c>
      <c r="F19" s="15">
        <f t="shared" si="1"/>
        <v>69610.459999999992</v>
      </c>
      <c r="I19" s="48" t="s">
        <v>40</v>
      </c>
      <c r="J19" s="4" t="s">
        <v>29</v>
      </c>
      <c r="K19" s="24"/>
      <c r="L19" s="17">
        <f>L20+L21+L22+L23+L24+L25+L26+L27+L28+L29</f>
        <v>864.88000000000011</v>
      </c>
      <c r="M19" s="15">
        <f>K19-L19</f>
        <v>-864.88000000000011</v>
      </c>
    </row>
    <row r="20" spans="1:13" ht="18.75" x14ac:dyDescent="0.3">
      <c r="A20" s="43" t="s">
        <v>21</v>
      </c>
      <c r="B20" s="44" t="s">
        <v>22</v>
      </c>
      <c r="C20" s="45">
        <v>35000</v>
      </c>
      <c r="D20" s="22">
        <f t="shared" si="0"/>
        <v>35000</v>
      </c>
      <c r="E20" s="49">
        <f>3246+3872+3105.5+3168+2812.5</f>
        <v>16204</v>
      </c>
      <c r="F20" s="16">
        <f t="shared" si="1"/>
        <v>18796</v>
      </c>
      <c r="I20" s="43" t="s">
        <v>21</v>
      </c>
      <c r="J20" s="44" t="s">
        <v>22</v>
      </c>
      <c r="K20" s="45"/>
      <c r="L20" s="49"/>
      <c r="M20" s="16">
        <f t="shared" ref="M20" si="5">K20-L20</f>
        <v>0</v>
      </c>
    </row>
    <row r="21" spans="1:13" ht="18.75" x14ac:dyDescent="0.3">
      <c r="A21" s="43" t="s">
        <v>41</v>
      </c>
      <c r="B21" s="44" t="s">
        <v>30</v>
      </c>
      <c r="C21" s="45"/>
      <c r="D21" s="22">
        <f t="shared" si="0"/>
        <v>0</v>
      </c>
      <c r="E21" s="46"/>
      <c r="F21" s="15"/>
      <c r="I21" s="43" t="s">
        <v>41</v>
      </c>
      <c r="J21" s="44" t="s">
        <v>30</v>
      </c>
      <c r="K21" s="45"/>
      <c r="L21" s="46"/>
      <c r="M21" s="15"/>
    </row>
    <row r="22" spans="1:13" ht="18.75" x14ac:dyDescent="0.3">
      <c r="A22" s="43" t="s">
        <v>42</v>
      </c>
      <c r="B22" s="44" t="s">
        <v>31</v>
      </c>
      <c r="C22" s="45">
        <v>1000</v>
      </c>
      <c r="D22" s="22">
        <f t="shared" si="0"/>
        <v>1000</v>
      </c>
      <c r="E22" s="49"/>
      <c r="F22" s="16">
        <f t="shared" si="1"/>
        <v>1000</v>
      </c>
      <c r="I22" s="43" t="s">
        <v>42</v>
      </c>
      <c r="J22" s="44" t="s">
        <v>31</v>
      </c>
      <c r="K22" s="45"/>
      <c r="L22" s="49"/>
      <c r="M22" s="16">
        <f t="shared" ref="M22:M23" si="6">K22-L22</f>
        <v>0</v>
      </c>
    </row>
    <row r="23" spans="1:13" ht="18.75" x14ac:dyDescent="0.3">
      <c r="A23" s="7" t="s">
        <v>23</v>
      </c>
      <c r="B23" s="12" t="s">
        <v>24</v>
      </c>
      <c r="C23" s="21"/>
      <c r="D23" s="22">
        <f t="shared" si="0"/>
        <v>0</v>
      </c>
      <c r="E23" s="19"/>
      <c r="F23" s="16">
        <f t="shared" si="1"/>
        <v>0</v>
      </c>
      <c r="I23" s="7" t="s">
        <v>23</v>
      </c>
      <c r="J23" s="12" t="s">
        <v>24</v>
      </c>
      <c r="K23" s="21"/>
      <c r="L23" s="19"/>
      <c r="M23" s="16">
        <f t="shared" si="6"/>
        <v>0</v>
      </c>
    </row>
    <row r="24" spans="1:13" ht="18.75" x14ac:dyDescent="0.3">
      <c r="A24" s="7" t="s">
        <v>32</v>
      </c>
      <c r="B24" s="12" t="s">
        <v>33</v>
      </c>
      <c r="C24" s="24">
        <v>10000</v>
      </c>
      <c r="D24" s="22">
        <f t="shared" si="0"/>
        <v>10000</v>
      </c>
      <c r="E24" s="19">
        <f>410.08+3595.84+620.4+2669.94+98.8</f>
        <v>7395.06</v>
      </c>
      <c r="F24" s="16">
        <f>D24-E24</f>
        <v>2604.9399999999996</v>
      </c>
      <c r="I24" s="7" t="s">
        <v>32</v>
      </c>
      <c r="J24" s="12" t="s">
        <v>33</v>
      </c>
      <c r="K24" s="24"/>
      <c r="L24" s="19">
        <f>178+232.08</f>
        <v>410.08000000000004</v>
      </c>
      <c r="M24" s="16">
        <f>K24-L24</f>
        <v>-410.08000000000004</v>
      </c>
    </row>
    <row r="25" spans="1:13" ht="18.75" x14ac:dyDescent="0.3">
      <c r="A25" s="7" t="s">
        <v>34</v>
      </c>
      <c r="B25" s="4" t="s">
        <v>35</v>
      </c>
      <c r="C25" s="24">
        <v>16638</v>
      </c>
      <c r="D25" s="22">
        <f t="shared" si="0"/>
        <v>16638</v>
      </c>
      <c r="E25" s="19">
        <f>233.79+240.68+242.51+345.23+229.06</f>
        <v>1291.27</v>
      </c>
      <c r="F25" s="16">
        <f>D25-E25</f>
        <v>15346.73</v>
      </c>
      <c r="I25" s="7" t="s">
        <v>34</v>
      </c>
      <c r="J25" s="4" t="s">
        <v>35</v>
      </c>
      <c r="K25" s="24"/>
      <c r="L25" s="19"/>
      <c r="M25" s="16">
        <f>K25-L25</f>
        <v>0</v>
      </c>
    </row>
    <row r="26" spans="1:13" ht="18.75" x14ac:dyDescent="0.3">
      <c r="A26" s="42" t="s">
        <v>44</v>
      </c>
      <c r="B26" s="12" t="s">
        <v>25</v>
      </c>
      <c r="C26" s="24">
        <v>30000</v>
      </c>
      <c r="D26" s="22">
        <f t="shared" si="0"/>
        <v>30000</v>
      </c>
      <c r="E26" s="19">
        <f>584.22+2186.87+656.74+1297.43+5163.95</f>
        <v>9889.2099999999991</v>
      </c>
      <c r="F26" s="15">
        <f t="shared" si="1"/>
        <v>20110.79</v>
      </c>
      <c r="I26" s="42" t="s">
        <v>44</v>
      </c>
      <c r="J26" s="12" t="s">
        <v>25</v>
      </c>
      <c r="K26" s="24"/>
      <c r="L26" s="19">
        <f>454.8</f>
        <v>454.8</v>
      </c>
      <c r="M26" s="15">
        <f t="shared" ref="M26:M28" si="7">K26-L26</f>
        <v>-454.8</v>
      </c>
    </row>
    <row r="27" spans="1:13" ht="18.75" x14ac:dyDescent="0.3">
      <c r="A27" s="42" t="s">
        <v>36</v>
      </c>
      <c r="B27" s="12" t="s">
        <v>37</v>
      </c>
      <c r="C27" s="24">
        <v>10000</v>
      </c>
      <c r="D27" s="22">
        <f t="shared" si="0"/>
        <v>10000</v>
      </c>
      <c r="E27" s="19"/>
      <c r="F27" s="16">
        <f t="shared" si="1"/>
        <v>10000</v>
      </c>
      <c r="I27" s="42" t="s">
        <v>36</v>
      </c>
      <c r="J27" s="12" t="s">
        <v>37</v>
      </c>
      <c r="K27" s="24"/>
      <c r="L27" s="19"/>
      <c r="M27" s="16">
        <f t="shared" si="7"/>
        <v>0</v>
      </c>
    </row>
    <row r="28" spans="1:13" ht="18.75" x14ac:dyDescent="0.3">
      <c r="A28" s="42" t="s">
        <v>45</v>
      </c>
      <c r="B28" s="12" t="s">
        <v>38</v>
      </c>
      <c r="C28" s="24">
        <v>2000</v>
      </c>
      <c r="D28" s="22">
        <f t="shared" si="0"/>
        <v>2000</v>
      </c>
      <c r="E28" s="19">
        <f>50+50+148</f>
        <v>248</v>
      </c>
      <c r="F28" s="16">
        <f t="shared" si="1"/>
        <v>1752</v>
      </c>
      <c r="I28" s="42" t="s">
        <v>45</v>
      </c>
      <c r="J28" s="12" t="s">
        <v>38</v>
      </c>
      <c r="K28" s="24"/>
      <c r="L28" s="19"/>
      <c r="M28" s="16">
        <f t="shared" si="7"/>
        <v>0</v>
      </c>
    </row>
    <row r="29" spans="1:13" ht="18.75" x14ac:dyDescent="0.3">
      <c r="A29" s="42" t="s">
        <v>46</v>
      </c>
      <c r="B29" s="12" t="s">
        <v>49</v>
      </c>
      <c r="C29" s="24"/>
      <c r="D29" s="22">
        <f t="shared" si="0"/>
        <v>0</v>
      </c>
      <c r="E29" s="19"/>
      <c r="F29" s="16"/>
      <c r="I29" s="42" t="s">
        <v>46</v>
      </c>
      <c r="J29" s="12" t="s">
        <v>49</v>
      </c>
      <c r="K29" s="24"/>
      <c r="L29" s="19"/>
      <c r="M29" s="16"/>
    </row>
    <row r="30" spans="1:13" ht="18.75" x14ac:dyDescent="0.3">
      <c r="A30" s="42" t="s">
        <v>47</v>
      </c>
      <c r="B30" s="12" t="s">
        <v>50</v>
      </c>
      <c r="C30" s="24">
        <v>300</v>
      </c>
      <c r="D30" s="22">
        <f t="shared" si="0"/>
        <v>300</v>
      </c>
      <c r="E30" s="19">
        <v>280.86</v>
      </c>
      <c r="F30" s="16">
        <f t="shared" si="1"/>
        <v>19.139999999999986</v>
      </c>
      <c r="I30" s="42" t="s">
        <v>47</v>
      </c>
      <c r="J30" s="12" t="s">
        <v>50</v>
      </c>
      <c r="K30" s="24"/>
      <c r="L30" s="19"/>
      <c r="M30" s="16">
        <f t="shared" ref="M30:M33" si="8">K30-L30</f>
        <v>0</v>
      </c>
    </row>
    <row r="31" spans="1:13" ht="18.75" x14ac:dyDescent="0.3">
      <c r="A31" s="7" t="s">
        <v>48</v>
      </c>
      <c r="B31" s="12" t="s">
        <v>51</v>
      </c>
      <c r="C31" s="24"/>
      <c r="D31" s="22">
        <f t="shared" si="0"/>
        <v>0</v>
      </c>
      <c r="E31" s="19"/>
      <c r="F31" s="16">
        <f t="shared" si="1"/>
        <v>0</v>
      </c>
      <c r="I31" s="7" t="s">
        <v>48</v>
      </c>
      <c r="J31" s="12" t="s">
        <v>51</v>
      </c>
      <c r="K31" s="24"/>
      <c r="L31" s="19"/>
      <c r="M31" s="16">
        <f t="shared" si="8"/>
        <v>0</v>
      </c>
    </row>
    <row r="32" spans="1:13" ht="18.75" x14ac:dyDescent="0.3">
      <c r="A32" s="7" t="s">
        <v>74</v>
      </c>
      <c r="B32" s="12" t="s">
        <v>72</v>
      </c>
      <c r="C32" s="24">
        <v>1200</v>
      </c>
      <c r="D32" s="22">
        <f t="shared" si="0"/>
        <v>1200</v>
      </c>
      <c r="E32" s="7"/>
      <c r="F32" s="7"/>
      <c r="I32" s="13" t="s">
        <v>56</v>
      </c>
      <c r="J32" s="12" t="s">
        <v>57</v>
      </c>
      <c r="K32" s="25">
        <f>7057+6650</f>
        <v>13707</v>
      </c>
      <c r="L32" s="19"/>
      <c r="M32" s="16">
        <f t="shared" si="8"/>
        <v>13707</v>
      </c>
    </row>
    <row r="33" spans="1:13" ht="18.75" x14ac:dyDescent="0.3">
      <c r="A33" s="7" t="s">
        <v>75</v>
      </c>
      <c r="B33" s="12" t="s">
        <v>73</v>
      </c>
      <c r="C33" s="24">
        <v>3000</v>
      </c>
      <c r="D33" s="22">
        <f t="shared" si="0"/>
        <v>3000</v>
      </c>
      <c r="E33" s="7"/>
      <c r="F33" s="7"/>
      <c r="K33" s="24"/>
      <c r="L33" s="19"/>
      <c r="M33" s="16">
        <f t="shared" si="8"/>
        <v>0</v>
      </c>
    </row>
    <row r="34" spans="1:13" ht="18.75" x14ac:dyDescent="0.3">
      <c r="A34" s="13" t="s">
        <v>26</v>
      </c>
      <c r="B34" s="12" t="s">
        <v>27</v>
      </c>
      <c r="C34" s="25">
        <v>15985</v>
      </c>
      <c r="D34" s="22">
        <f t="shared" si="0"/>
        <v>15985</v>
      </c>
      <c r="E34" s="19"/>
      <c r="F34" s="16">
        <f t="shared" si="1"/>
        <v>15985</v>
      </c>
      <c r="J34" t="s">
        <v>28</v>
      </c>
      <c r="K34" s="26">
        <f>K32</f>
        <v>13707</v>
      </c>
      <c r="L34" s="55">
        <f>L6+L7+L13+L19+L30+L31</f>
        <v>864.88000000000011</v>
      </c>
      <c r="M34" s="26">
        <f>K34-L34</f>
        <v>12842.119999999999</v>
      </c>
    </row>
    <row r="35" spans="1:13" ht="18.75" x14ac:dyDescent="0.3">
      <c r="C35" s="24"/>
      <c r="D35" s="24"/>
      <c r="E35" s="19"/>
      <c r="F35" s="16">
        <f t="shared" si="1"/>
        <v>0</v>
      </c>
      <c r="K35" s="50"/>
      <c r="L35" s="20"/>
    </row>
    <row r="36" spans="1:13" ht="18.75" x14ac:dyDescent="0.3">
      <c r="B36" t="s">
        <v>28</v>
      </c>
      <c r="C36" s="26">
        <f>C6+C7+C13+C19+C30+C31+C32+C33</f>
        <v>871255.6</v>
      </c>
      <c r="D36" s="26">
        <f>D6+D7+D13+D19+D30+D31+D32+D33</f>
        <v>871255.6</v>
      </c>
      <c r="E36" s="55">
        <f>E6+E7+E13+E19+E30+E31</f>
        <v>258469.74999999997</v>
      </c>
      <c r="F36" s="55">
        <f>F6+F7+F13+F19+F30+F31</f>
        <v>608585.85</v>
      </c>
      <c r="I36" s="1" t="s">
        <v>53</v>
      </c>
      <c r="K36" s="50"/>
      <c r="L36" s="56" t="s">
        <v>54</v>
      </c>
    </row>
    <row r="37" spans="1:13" ht="18" x14ac:dyDescent="0.25">
      <c r="C37" s="50"/>
      <c r="D37" s="50"/>
      <c r="E37" s="20"/>
      <c r="K37" s="50"/>
      <c r="L37" s="20"/>
    </row>
    <row r="38" spans="1:13" s="28" customFormat="1" ht="18.75" x14ac:dyDescent="0.3">
      <c r="A38" s="1" t="s">
        <v>53</v>
      </c>
      <c r="B38"/>
      <c r="C38" s="50"/>
      <c r="D38" s="50"/>
      <c r="E38" s="56" t="s">
        <v>54</v>
      </c>
      <c r="F38"/>
      <c r="L38" s="29"/>
    </row>
    <row r="39" spans="1:13" s="28" customFormat="1" ht="21" x14ac:dyDescent="0.35">
      <c r="A39"/>
      <c r="B39"/>
      <c r="C39" s="50"/>
      <c r="D39" s="50"/>
      <c r="E39" s="20"/>
      <c r="F39"/>
      <c r="I39" s="92"/>
      <c r="J39" s="92"/>
      <c r="K39" s="30"/>
      <c r="L39" s="31"/>
      <c r="M39" s="32"/>
    </row>
    <row r="40" spans="1:13" s="28" customFormat="1" ht="18" x14ac:dyDescent="0.25">
      <c r="E40" s="29"/>
      <c r="J40" s="27"/>
      <c r="K40" s="33"/>
      <c r="L40" s="34"/>
      <c r="M40" s="35"/>
    </row>
    <row r="41" spans="1:13" s="28" customFormat="1" ht="21" x14ac:dyDescent="0.35">
      <c r="A41" s="92"/>
      <c r="B41" s="92"/>
      <c r="C41" s="30">
        <f>C34-809.76</f>
        <v>15175.24</v>
      </c>
      <c r="D41" s="30"/>
      <c r="E41" s="31"/>
      <c r="F41" s="32"/>
      <c r="J41" s="27"/>
      <c r="K41" s="36"/>
      <c r="L41" s="37"/>
      <c r="M41" s="35"/>
    </row>
    <row r="42" spans="1:13" s="28" customFormat="1" ht="18" x14ac:dyDescent="0.25">
      <c r="B42" s="27"/>
      <c r="C42" s="33"/>
      <c r="D42" s="33"/>
      <c r="E42" s="34"/>
      <c r="F42" s="35"/>
      <c r="J42" s="27"/>
      <c r="K42" s="36"/>
      <c r="L42" s="37"/>
      <c r="M42" s="35"/>
    </row>
    <row r="43" spans="1:13" s="28" customFormat="1" ht="18" x14ac:dyDescent="0.25">
      <c r="B43" s="27"/>
      <c r="C43" s="36"/>
      <c r="D43" s="36"/>
      <c r="E43" s="37"/>
      <c r="F43" s="35"/>
      <c r="J43" s="27"/>
      <c r="K43" s="36"/>
      <c r="L43" s="37"/>
      <c r="M43" s="35"/>
    </row>
    <row r="44" spans="1:13" s="28" customFormat="1" ht="18" x14ac:dyDescent="0.25">
      <c r="B44" s="27"/>
      <c r="C44" s="36"/>
      <c r="D44" s="36"/>
      <c r="E44" s="37"/>
      <c r="F44" s="35"/>
      <c r="J44" s="27"/>
      <c r="K44" s="36"/>
      <c r="L44" s="37"/>
      <c r="M44" s="35"/>
    </row>
    <row r="45" spans="1:13" s="28" customFormat="1" ht="18" x14ac:dyDescent="0.25">
      <c r="B45" s="27"/>
      <c r="C45" s="36"/>
      <c r="D45" s="36"/>
      <c r="E45" s="37"/>
      <c r="F45" s="35"/>
      <c r="J45" s="27"/>
      <c r="K45" s="36"/>
      <c r="L45" s="37"/>
      <c r="M45" s="35"/>
    </row>
    <row r="46" spans="1:13" s="28" customFormat="1" ht="18" x14ac:dyDescent="0.25">
      <c r="B46" s="27"/>
      <c r="C46" s="36"/>
      <c r="D46" s="36"/>
      <c r="E46" s="37"/>
      <c r="F46" s="35"/>
      <c r="J46" s="27"/>
      <c r="K46" s="36"/>
      <c r="L46" s="37"/>
      <c r="M46" s="35"/>
    </row>
    <row r="47" spans="1:13" s="28" customFormat="1" ht="18" x14ac:dyDescent="0.25">
      <c r="B47" s="27"/>
      <c r="C47" s="36"/>
      <c r="D47" s="36"/>
      <c r="E47" s="37"/>
      <c r="F47" s="35"/>
      <c r="J47" s="27"/>
      <c r="K47" s="36"/>
      <c r="L47" s="37"/>
      <c r="M47" s="35"/>
    </row>
    <row r="48" spans="1:13" s="28" customFormat="1" ht="18" x14ac:dyDescent="0.25">
      <c r="B48" s="27"/>
      <c r="C48" s="36"/>
      <c r="D48" s="36"/>
      <c r="E48" s="37"/>
      <c r="F48" s="35"/>
      <c r="J48" s="27"/>
      <c r="K48" s="36"/>
      <c r="L48" s="37"/>
      <c r="M48" s="35"/>
    </row>
    <row r="49" spans="1:13" s="28" customFormat="1" ht="18" x14ac:dyDescent="0.25">
      <c r="B49" s="27"/>
      <c r="C49" s="36"/>
      <c r="D49" s="36"/>
      <c r="E49" s="37"/>
      <c r="F49" s="35"/>
      <c r="J49" s="27"/>
      <c r="K49" s="36"/>
      <c r="L49" s="37"/>
      <c r="M49" s="35"/>
    </row>
    <row r="50" spans="1:13" s="28" customFormat="1" ht="18" x14ac:dyDescent="0.25">
      <c r="B50" s="27"/>
      <c r="C50" s="36"/>
      <c r="D50" s="36"/>
      <c r="E50" s="37"/>
      <c r="F50" s="35"/>
      <c r="J50" s="27"/>
      <c r="K50" s="36"/>
      <c r="L50" s="37"/>
      <c r="M50" s="35"/>
    </row>
    <row r="51" spans="1:13" s="28" customFormat="1" ht="18" x14ac:dyDescent="0.25">
      <c r="B51" s="27"/>
      <c r="C51" s="36"/>
      <c r="D51" s="36"/>
      <c r="E51" s="37"/>
      <c r="F51" s="35"/>
      <c r="J51" s="27"/>
      <c r="K51" s="36"/>
      <c r="L51" s="37"/>
      <c r="M51" s="35"/>
    </row>
    <row r="52" spans="1:13" s="28" customFormat="1" ht="18" x14ac:dyDescent="0.25">
      <c r="B52" s="27"/>
      <c r="C52" s="36"/>
      <c r="D52" s="36"/>
      <c r="E52" s="37"/>
      <c r="F52" s="35"/>
      <c r="J52" s="27"/>
      <c r="K52" s="36"/>
      <c r="L52" s="37"/>
      <c r="M52" s="35"/>
    </row>
    <row r="53" spans="1:13" s="28" customFormat="1" ht="18" x14ac:dyDescent="0.25">
      <c r="B53" s="27"/>
      <c r="C53" s="36"/>
      <c r="D53" s="36"/>
      <c r="E53" s="37"/>
      <c r="F53" s="35"/>
      <c r="K53" s="33"/>
      <c r="L53" s="34"/>
      <c r="M53" s="35"/>
    </row>
    <row r="54" spans="1:13" s="28" customFormat="1" ht="18" x14ac:dyDescent="0.25">
      <c r="B54" s="27"/>
      <c r="C54" s="36"/>
      <c r="D54" s="36"/>
      <c r="E54" s="37"/>
      <c r="F54" s="35"/>
      <c r="K54" s="35"/>
      <c r="L54" s="34"/>
      <c r="M54" s="35"/>
    </row>
    <row r="55" spans="1:13" s="28" customFormat="1" ht="18" x14ac:dyDescent="0.25">
      <c r="C55" s="33"/>
      <c r="D55" s="33"/>
      <c r="E55" s="34"/>
      <c r="F55" s="35"/>
      <c r="K55" s="35"/>
      <c r="L55" s="34"/>
      <c r="M55" s="35"/>
    </row>
    <row r="56" spans="1:13" s="28" customFormat="1" ht="18" x14ac:dyDescent="0.25">
      <c r="C56" s="35"/>
      <c r="D56" s="35"/>
      <c r="E56" s="34"/>
      <c r="F56" s="35"/>
      <c r="I56" s="39"/>
      <c r="K56" s="40"/>
      <c r="L56" s="27"/>
    </row>
    <row r="57" spans="1:13" s="28" customFormat="1" ht="18" x14ac:dyDescent="0.25">
      <c r="C57" s="35"/>
      <c r="D57" s="35"/>
      <c r="E57" s="34"/>
      <c r="F57" s="35"/>
      <c r="K57" s="41"/>
      <c r="L57" s="41"/>
    </row>
    <row r="58" spans="1:13" s="28" customFormat="1" ht="18" x14ac:dyDescent="0.25">
      <c r="A58" s="39"/>
      <c r="C58" s="40"/>
      <c r="D58" s="40"/>
      <c r="E58" s="27"/>
      <c r="I58" s="38"/>
      <c r="J58" s="27"/>
      <c r="K58" s="27"/>
      <c r="L58" s="27"/>
    </row>
    <row r="59" spans="1:13" s="28" customFormat="1" ht="18" x14ac:dyDescent="0.25">
      <c r="C59" s="41"/>
      <c r="D59" s="41"/>
      <c r="E59" s="41"/>
      <c r="J59" s="27"/>
      <c r="K59" s="27"/>
      <c r="L59" s="27"/>
    </row>
    <row r="60" spans="1:13" s="28" customFormat="1" ht="18" x14ac:dyDescent="0.25">
      <c r="A60" s="38"/>
      <c r="B60" s="27"/>
      <c r="C60" s="27"/>
      <c r="D60" s="27"/>
      <c r="E60" s="27"/>
      <c r="J60" s="27"/>
      <c r="K60" s="27"/>
      <c r="L60" s="27"/>
    </row>
    <row r="61" spans="1:13" s="28" customFormat="1" ht="18" x14ac:dyDescent="0.25">
      <c r="B61" s="27"/>
      <c r="C61" s="27"/>
      <c r="D61" s="27"/>
      <c r="E61" s="27"/>
      <c r="I61" s="38"/>
      <c r="J61" s="27"/>
      <c r="K61" s="27"/>
      <c r="L61" s="27"/>
    </row>
    <row r="62" spans="1:13" s="28" customFormat="1" ht="18" x14ac:dyDescent="0.25">
      <c r="B62" s="27"/>
      <c r="C62" s="27"/>
      <c r="D62" s="27"/>
      <c r="E62" s="27"/>
      <c r="I62" s="38"/>
      <c r="J62" s="27"/>
      <c r="K62" s="27"/>
      <c r="L62" s="27"/>
    </row>
    <row r="63" spans="1:13" s="28" customFormat="1" ht="18" x14ac:dyDescent="0.25">
      <c r="A63" s="38"/>
      <c r="B63" s="27"/>
      <c r="C63" s="27"/>
      <c r="D63" s="27"/>
      <c r="E63" s="27"/>
      <c r="I63" s="38"/>
      <c r="J63" s="27"/>
      <c r="K63" s="27"/>
      <c r="L63" s="27"/>
    </row>
    <row r="64" spans="1:13" s="28" customFormat="1" ht="18" x14ac:dyDescent="0.25">
      <c r="A64" s="38"/>
      <c r="B64" s="27"/>
      <c r="C64" s="27"/>
      <c r="D64" s="27"/>
      <c r="E64" s="27"/>
      <c r="I64" s="38"/>
      <c r="J64" s="27"/>
      <c r="K64" s="27"/>
      <c r="L64" s="27"/>
    </row>
    <row r="65" spans="1:6" s="28" customFormat="1" ht="18" x14ac:dyDescent="0.25">
      <c r="A65" s="38"/>
      <c r="B65" s="27"/>
      <c r="C65" s="27"/>
      <c r="D65" s="27"/>
      <c r="E65" s="27"/>
    </row>
    <row r="66" spans="1:6" ht="18" x14ac:dyDescent="0.25">
      <c r="A66" s="38"/>
      <c r="B66" s="27"/>
      <c r="C66" s="27"/>
      <c r="D66" s="27"/>
      <c r="E66" s="27"/>
      <c r="F66" s="28"/>
    </row>
    <row r="67" spans="1:6" x14ac:dyDescent="0.25">
      <c r="A67" s="28"/>
      <c r="B67" s="28"/>
      <c r="C67" s="28"/>
      <c r="D67" s="28"/>
      <c r="E67" s="28"/>
      <c r="F67" s="28"/>
    </row>
  </sheetData>
  <mergeCells count="6">
    <mergeCell ref="A5:B5"/>
    <mergeCell ref="A6:A7"/>
    <mergeCell ref="A41:B41"/>
    <mergeCell ref="I5:J5"/>
    <mergeCell ref="I6:I7"/>
    <mergeCell ref="I39:J39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topLeftCell="B10" zoomScaleNormal="100" workbookViewId="0">
      <selection activeCell="E20" sqref="E20"/>
    </sheetView>
  </sheetViews>
  <sheetFormatPr defaultRowHeight="15" x14ac:dyDescent="0.25"/>
  <cols>
    <col min="1" max="1" width="27.5703125" customWidth="1"/>
    <col min="2" max="2" width="11.42578125" customWidth="1"/>
    <col min="3" max="3" width="13.140625" customWidth="1"/>
    <col min="4" max="4" width="14.42578125" customWidth="1"/>
    <col min="5" max="5" width="15" customWidth="1"/>
    <col min="6" max="6" width="16" customWidth="1"/>
    <col min="7" max="7" width="7.7109375" customWidth="1"/>
    <col min="8" max="8" width="28.85546875" customWidth="1"/>
    <col min="9" max="9" width="11.42578125" customWidth="1"/>
    <col min="10" max="10" width="14.28515625" customWidth="1"/>
    <col min="11" max="11" width="15" customWidth="1"/>
    <col min="12" max="12" width="14.5703125" customWidth="1"/>
    <col min="14" max="14" width="28.85546875" customWidth="1"/>
    <col min="15" max="15" width="11.42578125" customWidth="1"/>
    <col min="16" max="16" width="14.28515625" customWidth="1"/>
    <col min="17" max="17" width="15" customWidth="1"/>
    <col min="18" max="18" width="14.5703125" customWidth="1"/>
  </cols>
  <sheetData>
    <row r="1" spans="1:18" ht="18.75" x14ac:dyDescent="0.3">
      <c r="B1" s="1" t="s">
        <v>61</v>
      </c>
      <c r="C1" s="1"/>
      <c r="D1" s="1"/>
      <c r="E1" s="1"/>
      <c r="I1" s="1" t="s">
        <v>55</v>
      </c>
      <c r="K1" s="1"/>
      <c r="O1" s="1" t="s">
        <v>119</v>
      </c>
      <c r="Q1" s="1"/>
    </row>
    <row r="2" spans="1:18" ht="18.75" x14ac:dyDescent="0.3">
      <c r="B2" s="1" t="s">
        <v>52</v>
      </c>
      <c r="C2" s="1"/>
      <c r="D2" s="1"/>
      <c r="E2" s="1"/>
      <c r="I2" s="1" t="s">
        <v>52</v>
      </c>
      <c r="K2" s="1"/>
      <c r="O2" s="1" t="s">
        <v>52</v>
      </c>
      <c r="Q2" s="1"/>
    </row>
    <row r="3" spans="1:18" ht="18.75" x14ac:dyDescent="0.3">
      <c r="B3" s="1"/>
      <c r="C3" s="1"/>
      <c r="D3" s="1"/>
      <c r="E3" s="1"/>
      <c r="I3" s="1"/>
      <c r="J3" s="1"/>
      <c r="K3" s="1"/>
      <c r="O3" s="1"/>
      <c r="P3" s="1"/>
      <c r="Q3" s="1"/>
    </row>
    <row r="4" spans="1:18" ht="19.5" thickBot="1" x14ac:dyDescent="0.35">
      <c r="F4" s="1"/>
      <c r="L4" s="1"/>
      <c r="R4" s="1"/>
    </row>
    <row r="5" spans="1:18" ht="63.75" thickBot="1" x14ac:dyDescent="0.4">
      <c r="A5" s="88" t="s">
        <v>62</v>
      </c>
      <c r="B5" s="89"/>
      <c r="C5" s="8" t="s">
        <v>58</v>
      </c>
      <c r="D5" s="8" t="s">
        <v>60</v>
      </c>
      <c r="E5" s="58" t="s">
        <v>118</v>
      </c>
      <c r="F5" s="10" t="s">
        <v>39</v>
      </c>
      <c r="H5" s="88" t="s">
        <v>43</v>
      </c>
      <c r="I5" s="89"/>
      <c r="J5" s="8" t="s">
        <v>117</v>
      </c>
      <c r="K5" s="58" t="s">
        <v>118</v>
      </c>
      <c r="L5" s="10" t="s">
        <v>39</v>
      </c>
      <c r="N5" s="88" t="s">
        <v>43</v>
      </c>
      <c r="O5" s="89"/>
      <c r="P5" s="8" t="s">
        <v>117</v>
      </c>
      <c r="Q5" s="58" t="s">
        <v>118</v>
      </c>
      <c r="R5" s="10" t="s">
        <v>39</v>
      </c>
    </row>
    <row r="6" spans="1:18" ht="18.75" x14ac:dyDescent="0.3">
      <c r="A6" s="90" t="s">
        <v>0</v>
      </c>
      <c r="B6" s="11" t="s">
        <v>1</v>
      </c>
      <c r="C6" s="22">
        <v>590000</v>
      </c>
      <c r="D6" s="22">
        <f>C6</f>
        <v>590000</v>
      </c>
      <c r="E6" s="18">
        <f>39656.85+40295.33+44324.47+50538.33+56592.72</f>
        <v>231407.69999999998</v>
      </c>
      <c r="F6" s="14">
        <f>D6-E6</f>
        <v>358592.30000000005</v>
      </c>
      <c r="H6" s="90" t="s">
        <v>0</v>
      </c>
      <c r="I6" s="11" t="s">
        <v>1</v>
      </c>
      <c r="J6" s="22"/>
      <c r="K6" s="18"/>
      <c r="L6" s="14">
        <f>J6-K6</f>
        <v>0</v>
      </c>
      <c r="N6" s="90" t="s">
        <v>0</v>
      </c>
      <c r="O6" s="11" t="s">
        <v>1</v>
      </c>
      <c r="P6" s="22"/>
      <c r="Q6" s="18"/>
      <c r="R6" s="14">
        <f>P6-Q6</f>
        <v>0</v>
      </c>
    </row>
    <row r="7" spans="1:18" ht="18.75" x14ac:dyDescent="0.3">
      <c r="A7" s="91"/>
      <c r="B7" s="3" t="s">
        <v>2</v>
      </c>
      <c r="C7" s="23">
        <f>SUM(C8:C11)</f>
        <v>28000</v>
      </c>
      <c r="D7" s="22">
        <f t="shared" ref="D7:D34" si="0">C7</f>
        <v>28000</v>
      </c>
      <c r="E7" s="17">
        <f>SUM(E8:E11)</f>
        <v>8820.2100000000009</v>
      </c>
      <c r="F7" s="15">
        <f t="shared" ref="F7:F35" si="1">D7-E7</f>
        <v>19179.79</v>
      </c>
      <c r="H7" s="91"/>
      <c r="I7" s="3" t="s">
        <v>2</v>
      </c>
      <c r="J7" s="23"/>
      <c r="K7" s="17"/>
      <c r="L7" s="15">
        <f t="shared" ref="L7:L11" si="2">J7-K7</f>
        <v>0</v>
      </c>
      <c r="N7" s="91"/>
      <c r="O7" s="3" t="s">
        <v>2</v>
      </c>
      <c r="P7" s="23"/>
      <c r="Q7" s="17"/>
      <c r="R7" s="15">
        <f t="shared" ref="R7:R11" si="3">P7-Q7</f>
        <v>0</v>
      </c>
    </row>
    <row r="8" spans="1:18" ht="18.75" x14ac:dyDescent="0.3">
      <c r="A8" s="7" t="s">
        <v>3</v>
      </c>
      <c r="B8" s="4" t="s">
        <v>4</v>
      </c>
      <c r="C8" s="24">
        <v>5000</v>
      </c>
      <c r="D8" s="22">
        <f t="shared" si="0"/>
        <v>5000</v>
      </c>
      <c r="E8" s="19">
        <f>750+925+1075+1000+500</f>
        <v>4250</v>
      </c>
      <c r="F8" s="16">
        <f t="shared" si="1"/>
        <v>750</v>
      </c>
      <c r="H8" s="7" t="s">
        <v>3</v>
      </c>
      <c r="I8" s="4" t="s">
        <v>4</v>
      </c>
      <c r="J8" s="24"/>
      <c r="K8" s="19"/>
      <c r="L8" s="16">
        <f t="shared" si="2"/>
        <v>0</v>
      </c>
      <c r="N8" s="7" t="s">
        <v>3</v>
      </c>
      <c r="O8" s="4" t="s">
        <v>4</v>
      </c>
      <c r="P8" s="24"/>
      <c r="Q8" s="19"/>
      <c r="R8" s="16">
        <f t="shared" si="3"/>
        <v>0</v>
      </c>
    </row>
    <row r="9" spans="1:18" ht="18.75" x14ac:dyDescent="0.3">
      <c r="A9" s="7" t="s">
        <v>5</v>
      </c>
      <c r="B9" s="4" t="s">
        <v>6</v>
      </c>
      <c r="C9" s="24">
        <v>20000</v>
      </c>
      <c r="D9" s="22">
        <f t="shared" si="0"/>
        <v>20000</v>
      </c>
      <c r="E9" s="19">
        <f>750.22+723.76+723.76+723.76+723.76</f>
        <v>3645.26</v>
      </c>
      <c r="F9" s="16">
        <f t="shared" si="1"/>
        <v>16354.74</v>
      </c>
      <c r="H9" s="7" t="s">
        <v>5</v>
      </c>
      <c r="I9" s="4" t="s">
        <v>6</v>
      </c>
      <c r="J9" s="24"/>
      <c r="K9" s="19"/>
      <c r="L9" s="16">
        <f t="shared" si="2"/>
        <v>0</v>
      </c>
      <c r="N9" s="7" t="s">
        <v>5</v>
      </c>
      <c r="O9" s="4" t="s">
        <v>6</v>
      </c>
      <c r="P9" s="24"/>
      <c r="Q9" s="19"/>
      <c r="R9" s="16">
        <f t="shared" si="3"/>
        <v>0</v>
      </c>
    </row>
    <row r="10" spans="1:18" ht="18.75" x14ac:dyDescent="0.3">
      <c r="A10" s="7" t="s">
        <v>7</v>
      </c>
      <c r="B10" s="4" t="s">
        <v>8</v>
      </c>
      <c r="C10" s="21"/>
      <c r="D10" s="22">
        <f t="shared" si="0"/>
        <v>0</v>
      </c>
      <c r="E10" s="19"/>
      <c r="F10" s="16">
        <f t="shared" si="1"/>
        <v>0</v>
      </c>
      <c r="H10" s="7" t="s">
        <v>7</v>
      </c>
      <c r="I10" s="4" t="s">
        <v>8</v>
      </c>
      <c r="J10" s="21"/>
      <c r="K10" s="19"/>
      <c r="L10" s="16">
        <f t="shared" si="2"/>
        <v>0</v>
      </c>
      <c r="N10" s="7" t="s">
        <v>7</v>
      </c>
      <c r="O10" s="4" t="s">
        <v>8</v>
      </c>
      <c r="P10" s="21"/>
      <c r="Q10" s="19"/>
      <c r="R10" s="16">
        <f t="shared" si="3"/>
        <v>0</v>
      </c>
    </row>
    <row r="11" spans="1:18" ht="18.75" x14ac:dyDescent="0.3">
      <c r="A11" s="7" t="s">
        <v>9</v>
      </c>
      <c r="B11" s="4" t="s">
        <v>10</v>
      </c>
      <c r="C11" s="24">
        <v>3000</v>
      </c>
      <c r="D11" s="22">
        <f t="shared" si="0"/>
        <v>3000</v>
      </c>
      <c r="E11" s="19">
        <f>317.08+153.39+267.14+187.34</f>
        <v>924.94999999999993</v>
      </c>
      <c r="F11" s="16">
        <f t="shared" si="1"/>
        <v>2075.0500000000002</v>
      </c>
      <c r="H11" s="7" t="s">
        <v>9</v>
      </c>
      <c r="I11" s="4" t="s">
        <v>10</v>
      </c>
      <c r="J11" s="24"/>
      <c r="K11" s="19"/>
      <c r="L11" s="16">
        <f t="shared" si="2"/>
        <v>0</v>
      </c>
      <c r="N11" s="7" t="s">
        <v>9</v>
      </c>
      <c r="O11" s="4" t="s">
        <v>10</v>
      </c>
      <c r="P11" s="24"/>
      <c r="Q11" s="19"/>
      <c r="R11" s="16">
        <f t="shared" si="3"/>
        <v>0</v>
      </c>
    </row>
    <row r="12" spans="1:18" ht="18.75" x14ac:dyDescent="0.3">
      <c r="A12" s="7"/>
      <c r="B12" s="4"/>
      <c r="C12" s="24"/>
      <c r="D12" s="22">
        <f t="shared" si="0"/>
        <v>0</v>
      </c>
      <c r="E12" s="19"/>
      <c r="F12" s="16"/>
      <c r="H12" s="7"/>
      <c r="I12" s="4"/>
      <c r="J12" s="24"/>
      <c r="K12" s="19"/>
      <c r="L12" s="16"/>
      <c r="N12" s="7"/>
      <c r="O12" s="4"/>
      <c r="P12" s="24"/>
      <c r="Q12" s="19"/>
      <c r="R12" s="16"/>
    </row>
    <row r="13" spans="1:18" ht="18.75" x14ac:dyDescent="0.3">
      <c r="A13" s="7" t="s">
        <v>11</v>
      </c>
      <c r="B13" s="3" t="s">
        <v>12</v>
      </c>
      <c r="C13" s="23">
        <f>SUM(C14:C17)</f>
        <v>144117.59999999998</v>
      </c>
      <c r="D13" s="22">
        <f t="shared" si="0"/>
        <v>144117.59999999998</v>
      </c>
      <c r="E13" s="23">
        <f>SUM(E14:E17)</f>
        <v>53323.469999999994</v>
      </c>
      <c r="F13" s="15">
        <f>D13-E13</f>
        <v>90794.129999999976</v>
      </c>
      <c r="H13" s="7" t="s">
        <v>11</v>
      </c>
      <c r="I13" s="3" t="s">
        <v>12</v>
      </c>
      <c r="J13" s="23"/>
      <c r="K13" s="23"/>
      <c r="L13" s="15">
        <f>J13-K13</f>
        <v>0</v>
      </c>
      <c r="N13" s="7" t="s">
        <v>11</v>
      </c>
      <c r="O13" s="3" t="s">
        <v>12</v>
      </c>
      <c r="P13" s="23"/>
      <c r="Q13" s="23"/>
      <c r="R13" s="15">
        <f>P13-Q13</f>
        <v>0</v>
      </c>
    </row>
    <row r="14" spans="1:18" ht="18.75" x14ac:dyDescent="0.3">
      <c r="A14" s="7" t="s">
        <v>13</v>
      </c>
      <c r="B14" s="4" t="s">
        <v>14</v>
      </c>
      <c r="C14" s="24">
        <f>(C6+C7)*11.42%</f>
        <v>70575.599999999991</v>
      </c>
      <c r="D14" s="22">
        <f t="shared" si="0"/>
        <v>70575.599999999991</v>
      </c>
      <c r="E14" s="19">
        <f>4773.81+4821.94+5289.16+6088.51+6339.55</f>
        <v>27312.969999999998</v>
      </c>
      <c r="F14" s="16">
        <f>D14-E14</f>
        <v>43262.62999999999</v>
      </c>
      <c r="H14" s="7" t="s">
        <v>13</v>
      </c>
      <c r="I14" s="4" t="s">
        <v>14</v>
      </c>
      <c r="J14" s="24"/>
      <c r="K14" s="19"/>
      <c r="L14" s="16">
        <f>J14-K14</f>
        <v>0</v>
      </c>
      <c r="N14" s="7" t="s">
        <v>13</v>
      </c>
      <c r="O14" s="4" t="s">
        <v>14</v>
      </c>
      <c r="P14" s="24"/>
      <c r="Q14" s="19"/>
      <c r="R14" s="16">
        <f>P14-Q14</f>
        <v>0</v>
      </c>
    </row>
    <row r="15" spans="1:18" ht="18.75" x14ac:dyDescent="0.3">
      <c r="A15" s="7" t="s">
        <v>15</v>
      </c>
      <c r="B15" s="4" t="s">
        <v>16</v>
      </c>
      <c r="C15" s="24">
        <f>(C6+C7)*4.3%</f>
        <v>26573.999999999996</v>
      </c>
      <c r="D15" s="22">
        <f t="shared" si="0"/>
        <v>26573.999999999996</v>
      </c>
      <c r="E15" s="19">
        <f>1561.59+1620.97+1768.38+1992.04+2105.28</f>
        <v>9048.26</v>
      </c>
      <c r="F15" s="16">
        <f>D15-E15</f>
        <v>17525.739999999998</v>
      </c>
      <c r="H15" s="7" t="s">
        <v>15</v>
      </c>
      <c r="I15" s="4" t="s">
        <v>16</v>
      </c>
      <c r="J15" s="24"/>
      <c r="K15" s="19"/>
      <c r="L15" s="16">
        <f>J15-K15</f>
        <v>0</v>
      </c>
      <c r="N15" s="7" t="s">
        <v>15</v>
      </c>
      <c r="O15" s="4" t="s">
        <v>16</v>
      </c>
      <c r="P15" s="24"/>
      <c r="Q15" s="19"/>
      <c r="R15" s="16">
        <f>P15-Q15</f>
        <v>0</v>
      </c>
    </row>
    <row r="16" spans="1:18" ht="18.75" x14ac:dyDescent="0.3">
      <c r="A16" s="7" t="s">
        <v>17</v>
      </c>
      <c r="B16" s="4" t="s">
        <v>18</v>
      </c>
      <c r="C16" s="24">
        <f>(C6+C7)*4.8%</f>
        <v>29664</v>
      </c>
      <c r="D16" s="22">
        <f t="shared" si="0"/>
        <v>29664</v>
      </c>
      <c r="E16" s="19">
        <f>2022.39+2016.88+2200.55+2549.61+2667.8</f>
        <v>11457.23</v>
      </c>
      <c r="F16" s="16">
        <f t="shared" ref="F16:F17" si="4">D16-E16</f>
        <v>18206.77</v>
      </c>
      <c r="H16" s="7" t="s">
        <v>17</v>
      </c>
      <c r="I16" s="4" t="s">
        <v>18</v>
      </c>
      <c r="J16" s="24"/>
      <c r="K16" s="19"/>
      <c r="L16" s="16">
        <f t="shared" ref="L16:L17" si="5">J16-K16</f>
        <v>0</v>
      </c>
      <c r="N16" s="7" t="s">
        <v>17</v>
      </c>
      <c r="O16" s="4" t="s">
        <v>18</v>
      </c>
      <c r="P16" s="24"/>
      <c r="Q16" s="19"/>
      <c r="R16" s="16">
        <f t="shared" ref="R16:R17" si="6">P16-Q16</f>
        <v>0</v>
      </c>
    </row>
    <row r="17" spans="1:18" ht="18.75" x14ac:dyDescent="0.3">
      <c r="A17" s="7" t="s">
        <v>19</v>
      </c>
      <c r="B17" s="4" t="s">
        <v>20</v>
      </c>
      <c r="C17" s="24">
        <f>(C6+C7)*2.8%</f>
        <v>17304</v>
      </c>
      <c r="D17" s="22">
        <f t="shared" si="0"/>
        <v>17304</v>
      </c>
      <c r="E17" s="19">
        <f>958.22+974.01+1064.15+1235.05+1273.58</f>
        <v>5505.01</v>
      </c>
      <c r="F17" s="16">
        <f t="shared" si="4"/>
        <v>11798.99</v>
      </c>
      <c r="H17" s="7" t="s">
        <v>19</v>
      </c>
      <c r="I17" s="4" t="s">
        <v>20</v>
      </c>
      <c r="J17" s="24"/>
      <c r="K17" s="19"/>
      <c r="L17" s="16">
        <f t="shared" si="5"/>
        <v>0</v>
      </c>
      <c r="N17" s="7" t="s">
        <v>19</v>
      </c>
      <c r="O17" s="4" t="s">
        <v>20</v>
      </c>
      <c r="P17" s="24"/>
      <c r="Q17" s="19"/>
      <c r="R17" s="16">
        <f t="shared" si="6"/>
        <v>0</v>
      </c>
    </row>
    <row r="18" spans="1:18" ht="18.75" x14ac:dyDescent="0.3">
      <c r="A18" s="47"/>
      <c r="B18" s="4"/>
      <c r="C18" s="24"/>
      <c r="D18" s="22">
        <f t="shared" si="0"/>
        <v>0</v>
      </c>
      <c r="E18" s="19"/>
      <c r="F18" s="16"/>
      <c r="H18" s="47"/>
      <c r="I18" s="4"/>
      <c r="J18" s="24"/>
      <c r="K18" s="19"/>
      <c r="L18" s="16"/>
      <c r="N18" s="47"/>
      <c r="O18" s="4"/>
      <c r="P18" s="24"/>
      <c r="Q18" s="19"/>
      <c r="R18" s="16"/>
    </row>
    <row r="19" spans="1:18" ht="18.75" x14ac:dyDescent="0.3">
      <c r="A19" s="48" t="s">
        <v>40</v>
      </c>
      <c r="B19" s="4" t="s">
        <v>29</v>
      </c>
      <c r="C19" s="24">
        <f>SUM(C20:C29)</f>
        <v>104638</v>
      </c>
      <c r="D19" s="22">
        <f>D20+D21+D22+D23+D24+D25+D26+D27+D28+D29</f>
        <v>111969.03</v>
      </c>
      <c r="E19" s="17">
        <f>SUM(E20:E29)</f>
        <v>42271.08</v>
      </c>
      <c r="F19" s="15">
        <f t="shared" si="1"/>
        <v>69697.95</v>
      </c>
      <c r="H19" s="48" t="s">
        <v>40</v>
      </c>
      <c r="I19" s="4" t="s">
        <v>29</v>
      </c>
      <c r="J19" s="24"/>
      <c r="K19" s="17">
        <f>K20+K21+K22+K23+K24+K25+K26+K27+K28+K29</f>
        <v>864.88000000000011</v>
      </c>
      <c r="L19" s="15">
        <f>J19-K19</f>
        <v>-864.88000000000011</v>
      </c>
      <c r="N19" s="48" t="s">
        <v>40</v>
      </c>
      <c r="O19" s="4" t="s">
        <v>29</v>
      </c>
      <c r="P19" s="24"/>
      <c r="Q19" s="17"/>
      <c r="R19" s="15">
        <f>P19-Q19</f>
        <v>0</v>
      </c>
    </row>
    <row r="20" spans="1:18" ht="18.75" x14ac:dyDescent="0.3">
      <c r="A20" s="43" t="s">
        <v>21</v>
      </c>
      <c r="B20" s="44" t="s">
        <v>22</v>
      </c>
      <c r="C20" s="45">
        <v>35000</v>
      </c>
      <c r="D20" s="22">
        <f t="shared" si="0"/>
        <v>35000</v>
      </c>
      <c r="E20" s="49">
        <f>3246+3872+3105.5+3168+2812.5+2052.5</f>
        <v>18256.5</v>
      </c>
      <c r="F20" s="16">
        <f t="shared" si="1"/>
        <v>16743.5</v>
      </c>
      <c r="H20" s="43" t="s">
        <v>21</v>
      </c>
      <c r="I20" s="44" t="s">
        <v>22</v>
      </c>
      <c r="J20" s="45"/>
      <c r="K20" s="49"/>
      <c r="L20" s="16">
        <f t="shared" ref="L20" si="7">J20-K20</f>
        <v>0</v>
      </c>
      <c r="N20" s="43" t="s">
        <v>21</v>
      </c>
      <c r="O20" s="44" t="s">
        <v>22</v>
      </c>
      <c r="P20" s="45"/>
      <c r="Q20" s="49"/>
      <c r="R20" s="16">
        <f t="shared" ref="R20" si="8">P20-Q20</f>
        <v>0</v>
      </c>
    </row>
    <row r="21" spans="1:18" ht="18.75" x14ac:dyDescent="0.3">
      <c r="A21" s="43" t="s">
        <v>41</v>
      </c>
      <c r="B21" s="44" t="s">
        <v>30</v>
      </c>
      <c r="C21" s="45"/>
      <c r="D21" s="22">
        <f t="shared" si="0"/>
        <v>0</v>
      </c>
      <c r="E21" s="46"/>
      <c r="F21" s="15"/>
      <c r="H21" s="43" t="s">
        <v>41</v>
      </c>
      <c r="I21" s="44" t="s">
        <v>30</v>
      </c>
      <c r="J21" s="45"/>
      <c r="K21" s="46"/>
      <c r="L21" s="15"/>
      <c r="N21" s="43" t="s">
        <v>41</v>
      </c>
      <c r="O21" s="44" t="s">
        <v>30</v>
      </c>
      <c r="P21" s="45"/>
      <c r="Q21" s="46"/>
      <c r="R21" s="15"/>
    </row>
    <row r="22" spans="1:18" ht="18.75" x14ac:dyDescent="0.3">
      <c r="A22" s="43" t="s">
        <v>42</v>
      </c>
      <c r="B22" s="44" t="s">
        <v>31</v>
      </c>
      <c r="C22" s="45">
        <v>1000</v>
      </c>
      <c r="D22" s="22">
        <f t="shared" si="0"/>
        <v>1000</v>
      </c>
      <c r="E22" s="49"/>
      <c r="F22" s="16">
        <f t="shared" si="1"/>
        <v>1000</v>
      </c>
      <c r="H22" s="43" t="s">
        <v>42</v>
      </c>
      <c r="I22" s="44" t="s">
        <v>31</v>
      </c>
      <c r="J22" s="45"/>
      <c r="K22" s="49"/>
      <c r="L22" s="16">
        <f t="shared" ref="L22:L23" si="9">J22-K22</f>
        <v>0</v>
      </c>
      <c r="N22" s="43" t="s">
        <v>42</v>
      </c>
      <c r="O22" s="44" t="s">
        <v>31</v>
      </c>
      <c r="P22" s="45"/>
      <c r="Q22" s="49"/>
      <c r="R22" s="16">
        <f t="shared" ref="R22:R23" si="10">P22-Q22</f>
        <v>0</v>
      </c>
    </row>
    <row r="23" spans="1:18" ht="18.75" x14ac:dyDescent="0.3">
      <c r="A23" s="7" t="s">
        <v>23</v>
      </c>
      <c r="B23" s="12" t="s">
        <v>24</v>
      </c>
      <c r="C23" s="21"/>
      <c r="D23" s="22">
        <f>C23+7331.03</f>
        <v>7331.03</v>
      </c>
      <c r="E23" s="19"/>
      <c r="F23" s="16">
        <f t="shared" si="1"/>
        <v>7331.03</v>
      </c>
      <c r="H23" s="7" t="s">
        <v>23</v>
      </c>
      <c r="I23" s="12" t="s">
        <v>24</v>
      </c>
      <c r="J23" s="21"/>
      <c r="K23" s="19"/>
      <c r="L23" s="16">
        <f t="shared" si="9"/>
        <v>0</v>
      </c>
      <c r="N23" s="7" t="s">
        <v>23</v>
      </c>
      <c r="O23" s="12" t="s">
        <v>24</v>
      </c>
      <c r="P23" s="21"/>
      <c r="Q23" s="19"/>
      <c r="R23" s="16">
        <f t="shared" si="10"/>
        <v>0</v>
      </c>
    </row>
    <row r="24" spans="1:18" ht="18.75" x14ac:dyDescent="0.3">
      <c r="A24" s="7" t="s">
        <v>32</v>
      </c>
      <c r="B24" s="12" t="s">
        <v>33</v>
      </c>
      <c r="C24" s="24">
        <v>10000</v>
      </c>
      <c r="D24" s="22">
        <f t="shared" si="0"/>
        <v>10000</v>
      </c>
      <c r="E24" s="19">
        <f>410.08+3595.84+620.4+2669.94+98.8+1936.31</f>
        <v>9331.3700000000008</v>
      </c>
      <c r="F24" s="16">
        <f>D24-E24</f>
        <v>668.6299999999992</v>
      </c>
      <c r="H24" s="7" t="s">
        <v>32</v>
      </c>
      <c r="I24" s="12" t="s">
        <v>33</v>
      </c>
      <c r="J24" s="24"/>
      <c r="K24" s="19">
        <f>178+232.08</f>
        <v>410.08000000000004</v>
      </c>
      <c r="L24" s="16">
        <f>J24-K24</f>
        <v>-410.08000000000004</v>
      </c>
      <c r="N24" s="7" t="s">
        <v>32</v>
      </c>
      <c r="O24" s="12" t="s">
        <v>33</v>
      </c>
      <c r="P24" s="24">
        <f>18794.99+57835.48</f>
        <v>76630.47</v>
      </c>
      <c r="Q24" s="19">
        <f>14821.8+14095.95+9397.5</f>
        <v>38315.25</v>
      </c>
      <c r="R24" s="16">
        <f>P24-Q24</f>
        <v>38315.22</v>
      </c>
    </row>
    <row r="25" spans="1:18" ht="18.75" x14ac:dyDescent="0.3">
      <c r="A25" s="7" t="s">
        <v>34</v>
      </c>
      <c r="B25" s="4" t="s">
        <v>35</v>
      </c>
      <c r="C25" s="24">
        <v>16638</v>
      </c>
      <c r="D25" s="22">
        <f t="shared" si="0"/>
        <v>16638</v>
      </c>
      <c r="E25" s="19">
        <f>233.79+240.68+242.51+345.23+229.06+202.49</f>
        <v>1493.76</v>
      </c>
      <c r="F25" s="16">
        <f>D25-E25</f>
        <v>15144.24</v>
      </c>
      <c r="H25" s="7" t="s">
        <v>34</v>
      </c>
      <c r="I25" s="4" t="s">
        <v>35</v>
      </c>
      <c r="J25" s="24"/>
      <c r="K25" s="19"/>
      <c r="L25" s="16">
        <f>J25-K25</f>
        <v>0</v>
      </c>
      <c r="N25" s="7" t="s">
        <v>34</v>
      </c>
      <c r="O25" s="4" t="s">
        <v>35</v>
      </c>
      <c r="P25" s="24"/>
      <c r="Q25" s="19"/>
      <c r="R25" s="16">
        <f>P25-Q25</f>
        <v>0</v>
      </c>
    </row>
    <row r="26" spans="1:18" ht="18.75" x14ac:dyDescent="0.3">
      <c r="A26" s="42" t="s">
        <v>44</v>
      </c>
      <c r="B26" s="12" t="s">
        <v>25</v>
      </c>
      <c r="C26" s="24">
        <v>30000</v>
      </c>
      <c r="D26" s="22">
        <f t="shared" si="0"/>
        <v>30000</v>
      </c>
      <c r="E26" s="19">
        <f>584.22+2186.87+656.74+1297.43+5163.95+2776.24</f>
        <v>12665.449999999999</v>
      </c>
      <c r="F26" s="15">
        <f t="shared" si="1"/>
        <v>17334.550000000003</v>
      </c>
      <c r="H26" s="42" t="s">
        <v>44</v>
      </c>
      <c r="I26" s="12" t="s">
        <v>25</v>
      </c>
      <c r="J26" s="24"/>
      <c r="K26" s="19">
        <f>454.8</f>
        <v>454.8</v>
      </c>
      <c r="L26" s="15">
        <f t="shared" ref="L26:L28" si="11">J26-K26</f>
        <v>-454.8</v>
      </c>
      <c r="N26" s="42" t="s">
        <v>44</v>
      </c>
      <c r="O26" s="12" t="s">
        <v>25</v>
      </c>
      <c r="P26" s="24"/>
      <c r="Q26" s="19"/>
      <c r="R26" s="15">
        <f t="shared" ref="R26:R29" si="12">P26-Q26</f>
        <v>0</v>
      </c>
    </row>
    <row r="27" spans="1:18" ht="18.75" x14ac:dyDescent="0.3">
      <c r="A27" s="42" t="s">
        <v>36</v>
      </c>
      <c r="B27" s="12" t="s">
        <v>37</v>
      </c>
      <c r="C27" s="24">
        <v>10000</v>
      </c>
      <c r="D27" s="22">
        <f t="shared" si="0"/>
        <v>10000</v>
      </c>
      <c r="E27" s="19"/>
      <c r="F27" s="16">
        <f t="shared" si="1"/>
        <v>10000</v>
      </c>
      <c r="H27" s="42" t="s">
        <v>36</v>
      </c>
      <c r="I27" s="12" t="s">
        <v>37</v>
      </c>
      <c r="J27" s="24"/>
      <c r="K27" s="19"/>
      <c r="L27" s="16">
        <f t="shared" si="11"/>
        <v>0</v>
      </c>
      <c r="N27" s="42" t="s">
        <v>36</v>
      </c>
      <c r="O27" s="12" t="s">
        <v>37</v>
      </c>
      <c r="P27" s="24"/>
      <c r="Q27" s="19"/>
      <c r="R27" s="16">
        <f t="shared" si="12"/>
        <v>0</v>
      </c>
    </row>
    <row r="28" spans="1:18" ht="18.75" x14ac:dyDescent="0.3">
      <c r="A28" s="42" t="s">
        <v>45</v>
      </c>
      <c r="B28" s="12" t="s">
        <v>38</v>
      </c>
      <c r="C28" s="24">
        <v>2000</v>
      </c>
      <c r="D28" s="22">
        <f t="shared" si="0"/>
        <v>2000</v>
      </c>
      <c r="E28" s="19">
        <f>50+50+148+276</f>
        <v>524</v>
      </c>
      <c r="F28" s="16">
        <f t="shared" si="1"/>
        <v>1476</v>
      </c>
      <c r="H28" s="42" t="s">
        <v>45</v>
      </c>
      <c r="I28" s="12" t="s">
        <v>38</v>
      </c>
      <c r="J28" s="24"/>
      <c r="K28" s="19"/>
      <c r="L28" s="16">
        <f t="shared" si="11"/>
        <v>0</v>
      </c>
      <c r="N28" s="42" t="s">
        <v>124</v>
      </c>
      <c r="O28" s="12" t="s">
        <v>120</v>
      </c>
      <c r="P28" s="24">
        <v>26420.9</v>
      </c>
      <c r="Q28" s="19">
        <f>13210.45</f>
        <v>13210.45</v>
      </c>
      <c r="R28" s="16">
        <f t="shared" si="12"/>
        <v>13210.45</v>
      </c>
    </row>
    <row r="29" spans="1:18" ht="18.75" x14ac:dyDescent="0.3">
      <c r="A29" s="42" t="s">
        <v>46</v>
      </c>
      <c r="B29" s="12" t="s">
        <v>49</v>
      </c>
      <c r="C29" s="24"/>
      <c r="D29" s="22">
        <f t="shared" si="0"/>
        <v>0</v>
      </c>
      <c r="E29" s="19"/>
      <c r="F29" s="16"/>
      <c r="H29" s="42" t="s">
        <v>46</v>
      </c>
      <c r="I29" s="12" t="s">
        <v>49</v>
      </c>
      <c r="J29" s="24"/>
      <c r="K29" s="19"/>
      <c r="L29" s="16"/>
      <c r="N29" s="42" t="s">
        <v>125</v>
      </c>
      <c r="O29" s="12" t="s">
        <v>121</v>
      </c>
      <c r="P29" s="24">
        <v>30620.16</v>
      </c>
      <c r="Q29" s="19">
        <f>15310.08</f>
        <v>15310.08</v>
      </c>
      <c r="R29" s="16">
        <f t="shared" si="12"/>
        <v>15310.08</v>
      </c>
    </row>
    <row r="30" spans="1:18" ht="18.75" x14ac:dyDescent="0.3">
      <c r="A30" s="42" t="s">
        <v>47</v>
      </c>
      <c r="B30" s="12" t="s">
        <v>50</v>
      </c>
      <c r="C30" s="24">
        <v>300</v>
      </c>
      <c r="D30" s="22">
        <f t="shared" si="0"/>
        <v>300</v>
      </c>
      <c r="E30" s="19">
        <v>280.86</v>
      </c>
      <c r="F30" s="16">
        <f t="shared" si="1"/>
        <v>19.139999999999986</v>
      </c>
      <c r="H30" s="42" t="s">
        <v>47</v>
      </c>
      <c r="I30" s="12" t="s">
        <v>50</v>
      </c>
      <c r="J30" s="24"/>
      <c r="K30" s="19"/>
      <c r="L30" s="16">
        <f t="shared" ref="L30:L31" si="13">J30-K30</f>
        <v>0</v>
      </c>
      <c r="N30" s="42" t="s">
        <v>126</v>
      </c>
      <c r="O30" s="12" t="s">
        <v>122</v>
      </c>
      <c r="P30" s="24">
        <v>41415.81</v>
      </c>
      <c r="Q30" s="19">
        <f>20707.91</f>
        <v>20707.91</v>
      </c>
      <c r="R30" s="16">
        <f t="shared" ref="R30:R31" si="14">P30-Q30</f>
        <v>20707.899999999998</v>
      </c>
    </row>
    <row r="31" spans="1:18" ht="18.75" x14ac:dyDescent="0.3">
      <c r="A31" s="7" t="s">
        <v>48</v>
      </c>
      <c r="B31" s="12" t="s">
        <v>51</v>
      </c>
      <c r="C31" s="24"/>
      <c r="D31" s="22">
        <f t="shared" si="0"/>
        <v>0</v>
      </c>
      <c r="E31" s="19"/>
      <c r="F31" s="16">
        <f t="shared" si="1"/>
        <v>0</v>
      </c>
      <c r="H31" s="7" t="s">
        <v>48</v>
      </c>
      <c r="I31" s="12" t="s">
        <v>51</v>
      </c>
      <c r="J31" s="24"/>
      <c r="K31" s="19"/>
      <c r="L31" s="16">
        <f t="shared" si="13"/>
        <v>0</v>
      </c>
      <c r="N31" s="7" t="s">
        <v>48</v>
      </c>
      <c r="O31" s="12" t="s">
        <v>51</v>
      </c>
      <c r="P31" s="24"/>
      <c r="Q31" s="19"/>
      <c r="R31" s="16">
        <f t="shared" si="14"/>
        <v>0</v>
      </c>
    </row>
    <row r="32" spans="1:18" ht="18.75" x14ac:dyDescent="0.3">
      <c r="A32" s="7" t="s">
        <v>74</v>
      </c>
      <c r="B32" s="12" t="s">
        <v>72</v>
      </c>
      <c r="C32" s="24">
        <v>1200</v>
      </c>
      <c r="D32" s="22">
        <f t="shared" si="0"/>
        <v>1200</v>
      </c>
      <c r="E32" s="7"/>
      <c r="F32" s="7"/>
      <c r="H32" s="13" t="s">
        <v>56</v>
      </c>
      <c r="I32" s="12" t="s">
        <v>57</v>
      </c>
      <c r="J32" s="25">
        <f>7057+6650</f>
        <v>13707</v>
      </c>
      <c r="K32" s="19"/>
      <c r="L32" s="16">
        <f>J32-K36</f>
        <v>12842.119999999999</v>
      </c>
      <c r="N32" s="13" t="s">
        <v>56</v>
      </c>
      <c r="O32" s="12" t="s">
        <v>57</v>
      </c>
      <c r="P32" s="71">
        <v>88273.22</v>
      </c>
      <c r="Q32" s="19"/>
      <c r="R32" s="16">
        <f>P32-Q36</f>
        <v>729.52999999999884</v>
      </c>
    </row>
    <row r="33" spans="1:18" ht="18.75" x14ac:dyDescent="0.3">
      <c r="A33" s="7" t="s">
        <v>75</v>
      </c>
      <c r="B33" s="12" t="s">
        <v>73</v>
      </c>
      <c r="C33" s="24">
        <v>3000</v>
      </c>
      <c r="D33" s="22">
        <f t="shared" si="0"/>
        <v>3000</v>
      </c>
      <c r="E33" s="7"/>
      <c r="F33" s="7"/>
      <c r="H33" s="7"/>
      <c r="I33" s="72" t="s">
        <v>123</v>
      </c>
      <c r="J33" s="73">
        <f>K36-J32</f>
        <v>-12842.119999999999</v>
      </c>
      <c r="K33" s="7"/>
      <c r="L33" s="7"/>
      <c r="N33" s="7"/>
      <c r="O33" s="72" t="s">
        <v>123</v>
      </c>
      <c r="P33" s="15">
        <f>Q36-P32</f>
        <v>-729.52999999999884</v>
      </c>
      <c r="Q33" s="7"/>
      <c r="R33" s="7"/>
    </row>
    <row r="34" spans="1:18" ht="18.75" x14ac:dyDescent="0.3">
      <c r="A34" s="13" t="s">
        <v>26</v>
      </c>
      <c r="B34" s="12" t="s">
        <v>27</v>
      </c>
      <c r="C34" s="25">
        <v>15985</v>
      </c>
      <c r="D34" s="22">
        <f t="shared" si="0"/>
        <v>15985</v>
      </c>
      <c r="E34" s="19"/>
      <c r="F34" s="16">
        <f t="shared" si="1"/>
        <v>15985</v>
      </c>
    </row>
    <row r="35" spans="1:18" ht="18.75" x14ac:dyDescent="0.3">
      <c r="C35" s="24"/>
      <c r="D35" s="24"/>
      <c r="E35" s="19"/>
      <c r="F35" s="16">
        <f t="shared" si="1"/>
        <v>0</v>
      </c>
      <c r="J35" s="24"/>
      <c r="K35" s="19"/>
      <c r="L35" s="16">
        <f>J35-K35</f>
        <v>0</v>
      </c>
      <c r="P35" s="24"/>
      <c r="Q35" s="19"/>
      <c r="R35" s="16">
        <f>P35-Q35</f>
        <v>0</v>
      </c>
    </row>
    <row r="36" spans="1:18" ht="18" x14ac:dyDescent="0.25">
      <c r="B36" t="s">
        <v>28</v>
      </c>
      <c r="C36" s="26">
        <f>C6+C7+C13+C19+C30+C31+C32+C33</f>
        <v>871255.6</v>
      </c>
      <c r="D36" s="26">
        <f>D6+D7+D13+D19+D30+D31+D32+D33</f>
        <v>878586.63</v>
      </c>
      <c r="E36" s="55">
        <f>E6+E7+E13+E19+E30+E31</f>
        <v>336103.31999999995</v>
      </c>
      <c r="F36" s="55">
        <f>F6+F7+F13+F19+F30+F31</f>
        <v>538283.30999999994</v>
      </c>
      <c r="I36" t="s">
        <v>28</v>
      </c>
      <c r="J36" s="26">
        <f>J32</f>
        <v>13707</v>
      </c>
      <c r="K36" s="55">
        <f>K6+K7+K13+K19+K30+K31</f>
        <v>864.88000000000011</v>
      </c>
      <c r="L36" s="26">
        <f>J36-K36</f>
        <v>12842.119999999999</v>
      </c>
      <c r="O36" t="s">
        <v>28</v>
      </c>
      <c r="P36" s="26">
        <f>180758.65</f>
        <v>180758.65</v>
      </c>
      <c r="Q36" s="55">
        <f>Q6+Q24+Q28+Q29+Q307+Q13+Q19+Q30+Q31</f>
        <v>87543.69</v>
      </c>
      <c r="R36" s="26">
        <f>P36-Q36</f>
        <v>93214.959999999992</v>
      </c>
    </row>
    <row r="37" spans="1:18" ht="18" x14ac:dyDescent="0.25">
      <c r="C37" s="50"/>
      <c r="D37" s="50"/>
      <c r="E37" s="20"/>
      <c r="J37" s="50"/>
      <c r="K37" s="20"/>
      <c r="P37" s="50"/>
      <c r="Q37" s="20"/>
    </row>
    <row r="38" spans="1:18" s="28" customFormat="1" ht="18.75" x14ac:dyDescent="0.3">
      <c r="A38" s="1" t="s">
        <v>53</v>
      </c>
      <c r="B38"/>
      <c r="C38" s="50"/>
      <c r="D38" s="50"/>
      <c r="E38" s="56" t="s">
        <v>54</v>
      </c>
      <c r="F38"/>
      <c r="H38" s="1" t="s">
        <v>53</v>
      </c>
      <c r="I38"/>
      <c r="J38" s="50"/>
      <c r="K38" s="56" t="s">
        <v>54</v>
      </c>
      <c r="L38"/>
      <c r="M38"/>
      <c r="N38" s="1" t="s">
        <v>53</v>
      </c>
      <c r="O38"/>
      <c r="P38" s="50"/>
      <c r="Q38" s="56" t="s">
        <v>54</v>
      </c>
      <c r="R38"/>
    </row>
    <row r="39" spans="1:18" s="28" customFormat="1" ht="21" x14ac:dyDescent="0.35">
      <c r="A39"/>
      <c r="B39"/>
      <c r="C39" s="50"/>
      <c r="D39" s="50"/>
      <c r="E39" s="20"/>
      <c r="F39"/>
      <c r="H39" s="92"/>
      <c r="I39" s="92"/>
      <c r="J39" s="30"/>
      <c r="K39" s="31"/>
      <c r="L39" s="32"/>
      <c r="N39" s="92"/>
      <c r="O39" s="92"/>
      <c r="P39" s="30"/>
      <c r="Q39" s="31"/>
      <c r="R39" s="32"/>
    </row>
    <row r="40" spans="1:18" s="28" customFormat="1" ht="18" x14ac:dyDescent="0.25">
      <c r="E40" s="29"/>
      <c r="I40" s="27"/>
      <c r="J40" s="33"/>
      <c r="K40" s="34"/>
      <c r="L40" s="35"/>
      <c r="O40" s="27"/>
      <c r="P40" s="33"/>
      <c r="Q40" s="34"/>
      <c r="R40" s="35"/>
    </row>
    <row r="41" spans="1:18" s="28" customFormat="1" ht="21" x14ac:dyDescent="0.35">
      <c r="A41" s="92"/>
      <c r="B41" s="92"/>
      <c r="C41" s="30">
        <f>C34-809.76</f>
        <v>15175.24</v>
      </c>
      <c r="D41" s="30"/>
      <c r="E41" s="31"/>
      <c r="F41" s="32"/>
      <c r="I41" s="27"/>
      <c r="J41" s="36"/>
      <c r="K41" s="37"/>
      <c r="L41" s="35"/>
      <c r="O41" s="27"/>
      <c r="P41" s="36"/>
      <c r="Q41" s="37"/>
      <c r="R41" s="35"/>
    </row>
    <row r="42" spans="1:18" s="28" customFormat="1" ht="18" x14ac:dyDescent="0.25">
      <c r="B42" s="27"/>
      <c r="C42" s="33"/>
      <c r="D42" s="33"/>
      <c r="E42" s="34"/>
      <c r="F42" s="35"/>
      <c r="I42" s="27"/>
      <c r="J42" s="36"/>
      <c r="K42" s="37"/>
      <c r="L42" s="35"/>
      <c r="O42" s="27"/>
      <c r="P42" s="36"/>
      <c r="Q42" s="37"/>
      <c r="R42" s="35"/>
    </row>
    <row r="43" spans="1:18" s="28" customFormat="1" ht="18" x14ac:dyDescent="0.25">
      <c r="B43" s="27"/>
      <c r="C43" s="36"/>
      <c r="D43" s="36"/>
      <c r="E43" s="37"/>
      <c r="F43" s="35"/>
      <c r="I43" s="27"/>
      <c r="J43" s="36"/>
      <c r="K43" s="37"/>
      <c r="L43" s="35"/>
      <c r="O43" s="27"/>
      <c r="P43" s="36"/>
      <c r="Q43" s="37"/>
      <c r="R43" s="35"/>
    </row>
    <row r="44" spans="1:18" s="28" customFormat="1" ht="18" x14ac:dyDescent="0.25">
      <c r="B44" s="27"/>
      <c r="C44" s="36"/>
      <c r="D44" s="36"/>
      <c r="E44" s="37"/>
      <c r="F44" s="35"/>
      <c r="I44" s="27"/>
      <c r="J44" s="36"/>
      <c r="K44" s="37"/>
      <c r="L44" s="35"/>
      <c r="O44" s="27"/>
      <c r="P44" s="36"/>
      <c r="Q44" s="37"/>
      <c r="R44" s="35"/>
    </row>
    <row r="45" spans="1:18" s="28" customFormat="1" ht="18" x14ac:dyDescent="0.25">
      <c r="B45" s="27"/>
      <c r="C45" s="36"/>
      <c r="D45" s="36"/>
      <c r="E45" s="37"/>
      <c r="F45" s="35"/>
      <c r="I45" s="27"/>
      <c r="J45" s="36"/>
      <c r="K45" s="37"/>
      <c r="L45" s="35"/>
      <c r="O45" s="27"/>
      <c r="P45" s="36"/>
      <c r="Q45" s="37"/>
      <c r="R45" s="35"/>
    </row>
    <row r="46" spans="1:18" s="28" customFormat="1" ht="18" x14ac:dyDescent="0.25">
      <c r="B46" s="27"/>
      <c r="C46" s="36"/>
      <c r="D46" s="36"/>
      <c r="E46" s="37"/>
      <c r="F46" s="35"/>
      <c r="I46" s="27"/>
      <c r="J46" s="36"/>
      <c r="K46" s="37"/>
      <c r="L46" s="35"/>
      <c r="O46" s="27"/>
      <c r="P46" s="36"/>
      <c r="Q46" s="37"/>
      <c r="R46" s="35"/>
    </row>
    <row r="47" spans="1:18" s="28" customFormat="1" ht="18" x14ac:dyDescent="0.25">
      <c r="B47" s="27"/>
      <c r="C47" s="36"/>
      <c r="D47" s="36"/>
      <c r="E47" s="37"/>
      <c r="F47" s="35"/>
      <c r="I47" s="27"/>
      <c r="J47" s="36"/>
      <c r="K47" s="37"/>
      <c r="L47" s="35"/>
      <c r="O47" s="27"/>
      <c r="P47" s="36"/>
      <c r="Q47" s="37"/>
      <c r="R47" s="35"/>
    </row>
    <row r="48" spans="1:18" s="28" customFormat="1" ht="18" x14ac:dyDescent="0.25">
      <c r="B48" s="27"/>
      <c r="C48" s="36"/>
      <c r="D48" s="36"/>
      <c r="E48" s="37"/>
      <c r="F48" s="35"/>
      <c r="I48" s="27"/>
      <c r="J48" s="36"/>
      <c r="K48" s="37"/>
      <c r="L48" s="35"/>
      <c r="O48" s="27"/>
      <c r="P48" s="36"/>
      <c r="Q48" s="37"/>
      <c r="R48" s="35"/>
    </row>
    <row r="49" spans="1:18" s="28" customFormat="1" ht="18" x14ac:dyDescent="0.25">
      <c r="B49" s="27"/>
      <c r="C49" s="36"/>
      <c r="D49" s="36"/>
      <c r="E49" s="37"/>
      <c r="F49" s="35"/>
      <c r="I49" s="27"/>
      <c r="J49" s="36"/>
      <c r="K49" s="37"/>
      <c r="L49" s="35"/>
      <c r="O49" s="27"/>
      <c r="P49" s="36"/>
      <c r="Q49" s="37"/>
      <c r="R49" s="35"/>
    </row>
    <row r="50" spans="1:18" s="28" customFormat="1" ht="18" x14ac:dyDescent="0.25">
      <c r="B50" s="27"/>
      <c r="C50" s="36"/>
      <c r="D50" s="36"/>
      <c r="E50" s="37"/>
      <c r="F50" s="35"/>
      <c r="I50" s="27"/>
      <c r="J50" s="36"/>
      <c r="K50" s="37"/>
      <c r="L50" s="35"/>
      <c r="O50" s="27"/>
      <c r="P50" s="36"/>
      <c r="Q50" s="37"/>
      <c r="R50" s="35"/>
    </row>
    <row r="51" spans="1:18" s="28" customFormat="1" ht="18" x14ac:dyDescent="0.25">
      <c r="B51" s="27"/>
      <c r="C51" s="36"/>
      <c r="D51" s="36"/>
      <c r="E51" s="37"/>
      <c r="F51" s="35"/>
      <c r="I51" s="27"/>
      <c r="J51" s="36"/>
      <c r="K51" s="37"/>
      <c r="L51" s="35"/>
      <c r="O51" s="27"/>
      <c r="P51" s="36"/>
      <c r="Q51" s="37"/>
      <c r="R51" s="35"/>
    </row>
    <row r="52" spans="1:18" s="28" customFormat="1" ht="18" x14ac:dyDescent="0.25">
      <c r="B52" s="27"/>
      <c r="C52" s="36"/>
      <c r="D52" s="36"/>
      <c r="E52" s="37"/>
      <c r="F52" s="35"/>
      <c r="I52" s="27"/>
      <c r="J52" s="36"/>
      <c r="K52" s="37"/>
      <c r="L52" s="35"/>
      <c r="O52" s="27"/>
      <c r="P52" s="36"/>
      <c r="Q52" s="37"/>
      <c r="R52" s="35"/>
    </row>
    <row r="53" spans="1:18" s="28" customFormat="1" ht="18" x14ac:dyDescent="0.25">
      <c r="B53" s="27"/>
      <c r="C53" s="36"/>
      <c r="D53" s="36"/>
      <c r="E53" s="37"/>
      <c r="F53" s="35"/>
      <c r="J53" s="33"/>
      <c r="K53" s="34"/>
      <c r="L53" s="35"/>
      <c r="P53" s="33"/>
      <c r="Q53" s="34"/>
      <c r="R53" s="35"/>
    </row>
    <row r="54" spans="1:18" s="28" customFormat="1" ht="18" x14ac:dyDescent="0.25">
      <c r="B54" s="27"/>
      <c r="C54" s="36"/>
      <c r="D54" s="36"/>
      <c r="E54" s="37"/>
      <c r="F54" s="35"/>
      <c r="J54" s="35"/>
      <c r="K54" s="34"/>
      <c r="L54" s="35"/>
      <c r="P54" s="35"/>
      <c r="Q54" s="34"/>
      <c r="R54" s="35"/>
    </row>
    <row r="55" spans="1:18" s="28" customFormat="1" ht="18" x14ac:dyDescent="0.25">
      <c r="C55" s="33"/>
      <c r="D55" s="33"/>
      <c r="E55" s="34"/>
      <c r="F55" s="35"/>
      <c r="J55" s="35"/>
      <c r="K55" s="34"/>
      <c r="L55" s="35"/>
      <c r="P55" s="35"/>
      <c r="Q55" s="34"/>
      <c r="R55" s="35"/>
    </row>
    <row r="56" spans="1:18" s="28" customFormat="1" ht="18" x14ac:dyDescent="0.25">
      <c r="C56" s="35"/>
      <c r="D56" s="35"/>
      <c r="E56" s="34"/>
      <c r="F56" s="35"/>
      <c r="H56" s="39"/>
      <c r="J56" s="40"/>
      <c r="K56" s="27"/>
      <c r="N56" s="39"/>
      <c r="P56" s="40"/>
      <c r="Q56" s="27"/>
    </row>
    <row r="57" spans="1:18" s="28" customFormat="1" ht="18" x14ac:dyDescent="0.25">
      <c r="C57" s="35"/>
      <c r="D57" s="35"/>
      <c r="E57" s="34"/>
      <c r="F57" s="35"/>
      <c r="J57" s="41"/>
      <c r="K57" s="41"/>
      <c r="P57" s="41"/>
      <c r="Q57" s="41"/>
    </row>
    <row r="58" spans="1:18" s="28" customFormat="1" ht="18" x14ac:dyDescent="0.25">
      <c r="A58" s="39"/>
      <c r="C58" s="40"/>
      <c r="D58" s="40"/>
      <c r="E58" s="27"/>
      <c r="H58" s="38"/>
      <c r="I58" s="27"/>
      <c r="J58" s="27"/>
      <c r="K58" s="27"/>
      <c r="N58" s="38"/>
      <c r="O58" s="27"/>
      <c r="P58" s="27"/>
      <c r="Q58" s="27"/>
    </row>
    <row r="59" spans="1:18" s="28" customFormat="1" ht="18" x14ac:dyDescent="0.25">
      <c r="C59" s="41"/>
      <c r="D59" s="41"/>
      <c r="E59" s="41"/>
      <c r="I59" s="27"/>
      <c r="J59" s="27"/>
      <c r="K59" s="27"/>
      <c r="O59" s="27"/>
      <c r="P59" s="27"/>
      <c r="Q59" s="27"/>
    </row>
    <row r="60" spans="1:18" s="28" customFormat="1" ht="18" x14ac:dyDescent="0.25">
      <c r="A60" s="38"/>
      <c r="B60" s="27"/>
      <c r="C60" s="27"/>
      <c r="D60" s="27"/>
      <c r="E60" s="27"/>
      <c r="I60" s="27"/>
      <c r="J60" s="27"/>
      <c r="K60" s="27"/>
      <c r="O60" s="27"/>
      <c r="P60" s="27"/>
      <c r="Q60" s="27"/>
    </row>
    <row r="61" spans="1:18" s="28" customFormat="1" ht="18" x14ac:dyDescent="0.25">
      <c r="B61" s="27"/>
      <c r="C61" s="27"/>
      <c r="D61" s="27"/>
      <c r="E61" s="27"/>
      <c r="H61" s="38"/>
      <c r="I61" s="27"/>
      <c r="J61" s="27"/>
      <c r="K61" s="27"/>
      <c r="N61" s="38"/>
      <c r="O61" s="27"/>
      <c r="P61" s="27"/>
      <c r="Q61" s="27"/>
    </row>
    <row r="62" spans="1:18" s="28" customFormat="1" ht="18" x14ac:dyDescent="0.25">
      <c r="B62" s="27"/>
      <c r="C62" s="27"/>
      <c r="D62" s="27"/>
      <c r="E62" s="27"/>
      <c r="H62" s="38"/>
      <c r="I62" s="27"/>
      <c r="J62" s="27"/>
      <c r="K62" s="27"/>
      <c r="N62" s="38"/>
      <c r="O62" s="27"/>
      <c r="P62" s="27"/>
      <c r="Q62" s="27"/>
    </row>
    <row r="63" spans="1:18" s="28" customFormat="1" ht="18" x14ac:dyDescent="0.25">
      <c r="A63" s="38"/>
      <c r="B63" s="27"/>
      <c r="C63" s="27"/>
      <c r="D63" s="27"/>
      <c r="E63" s="27"/>
      <c r="H63" s="38"/>
      <c r="I63" s="27"/>
      <c r="J63" s="27"/>
      <c r="K63" s="27"/>
      <c r="N63" s="38"/>
      <c r="O63" s="27"/>
      <c r="P63" s="27"/>
      <c r="Q63" s="27"/>
    </row>
    <row r="64" spans="1:18" s="28" customFormat="1" ht="18" x14ac:dyDescent="0.25">
      <c r="A64" s="38"/>
      <c r="B64" s="27"/>
      <c r="C64" s="27"/>
      <c r="D64" s="27"/>
      <c r="E64" s="27"/>
      <c r="H64" s="38"/>
      <c r="I64" s="27"/>
      <c r="J64" s="27"/>
      <c r="K64" s="27"/>
      <c r="N64" s="38"/>
      <c r="O64" s="27"/>
      <c r="P64" s="27"/>
      <c r="Q64" s="27"/>
    </row>
    <row r="65" spans="1:6" s="28" customFormat="1" ht="18" x14ac:dyDescent="0.25">
      <c r="A65" s="38"/>
      <c r="B65" s="27"/>
      <c r="C65" s="27"/>
      <c r="D65" s="27"/>
      <c r="E65" s="27"/>
    </row>
    <row r="66" spans="1:6" ht="18" x14ac:dyDescent="0.25">
      <c r="A66" s="38"/>
      <c r="B66" s="27"/>
      <c r="C66" s="27"/>
      <c r="D66" s="27"/>
      <c r="E66" s="27"/>
      <c r="F66" s="28"/>
    </row>
    <row r="67" spans="1:6" x14ac:dyDescent="0.25">
      <c r="A67" s="28"/>
      <c r="B67" s="28"/>
      <c r="C67" s="28"/>
      <c r="D67" s="28"/>
      <c r="E67" s="28"/>
      <c r="F67" s="28"/>
    </row>
  </sheetData>
  <mergeCells count="9">
    <mergeCell ref="A41:B41"/>
    <mergeCell ref="N5:O5"/>
    <mergeCell ref="N6:N7"/>
    <mergeCell ref="N39:O39"/>
    <mergeCell ref="A5:B5"/>
    <mergeCell ref="A6:A7"/>
    <mergeCell ref="H5:I5"/>
    <mergeCell ref="H6:H7"/>
    <mergeCell ref="H39:I39"/>
  </mergeCells>
  <pageMargins left="0.7" right="0.7" top="0.75" bottom="0.75" header="0.3" footer="0.3"/>
  <pageSetup paperSize="9" scale="89" orientation="portrait" r:id="rId1"/>
  <colBreaks count="2" manualBreakCount="2">
    <brk id="6" max="1048575" man="1"/>
    <brk id="12" max="1048575" man="1"/>
  </col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topLeftCell="A16" zoomScaleNormal="100" workbookViewId="0">
      <selection activeCell="D43" sqref="D43"/>
    </sheetView>
  </sheetViews>
  <sheetFormatPr defaultRowHeight="15" x14ac:dyDescent="0.25"/>
  <cols>
    <col min="1" max="1" width="27.5703125" customWidth="1"/>
    <col min="2" max="2" width="11.42578125" customWidth="1"/>
    <col min="3" max="3" width="13.140625" customWidth="1"/>
    <col min="4" max="4" width="14.42578125" customWidth="1"/>
    <col min="5" max="5" width="15" customWidth="1"/>
    <col min="6" max="6" width="16" customWidth="1"/>
    <col min="7" max="7" width="7.7109375" customWidth="1"/>
    <col min="8" max="8" width="28.85546875" customWidth="1"/>
    <col min="9" max="9" width="11.42578125" customWidth="1"/>
    <col min="10" max="10" width="14.28515625" customWidth="1"/>
    <col min="11" max="11" width="15" customWidth="1"/>
    <col min="12" max="12" width="14.5703125" customWidth="1"/>
    <col min="14" max="14" width="28.85546875" customWidth="1"/>
    <col min="15" max="15" width="11.42578125" customWidth="1"/>
    <col min="16" max="16" width="14.28515625" customWidth="1"/>
    <col min="17" max="17" width="15" customWidth="1"/>
    <col min="18" max="18" width="14.5703125" customWidth="1"/>
  </cols>
  <sheetData>
    <row r="1" spans="1:18" ht="18.75" x14ac:dyDescent="0.3">
      <c r="B1" s="1" t="s">
        <v>61</v>
      </c>
      <c r="C1" s="1"/>
      <c r="D1" s="1"/>
      <c r="E1" s="1"/>
      <c r="I1" s="1" t="s">
        <v>55</v>
      </c>
      <c r="K1" s="1"/>
      <c r="O1" s="1" t="s">
        <v>119</v>
      </c>
      <c r="Q1" s="1"/>
    </row>
    <row r="2" spans="1:18" ht="18.75" x14ac:dyDescent="0.3">
      <c r="B2" s="1" t="s">
        <v>52</v>
      </c>
      <c r="C2" s="1"/>
      <c r="D2" s="1"/>
      <c r="E2" s="1"/>
      <c r="I2" s="1" t="s">
        <v>52</v>
      </c>
      <c r="K2" s="1"/>
      <c r="O2" s="1" t="s">
        <v>52</v>
      </c>
      <c r="Q2" s="1"/>
    </row>
    <row r="3" spans="1:18" ht="18.75" x14ac:dyDescent="0.3">
      <c r="B3" s="1"/>
      <c r="C3" s="1"/>
      <c r="D3" s="1"/>
      <c r="E3" s="1"/>
      <c r="I3" s="1"/>
      <c r="J3" s="1"/>
      <c r="K3" s="1"/>
      <c r="O3" s="1"/>
      <c r="P3" s="1"/>
      <c r="Q3" s="1"/>
    </row>
    <row r="4" spans="1:18" ht="19.5" thickBot="1" x14ac:dyDescent="0.35">
      <c r="F4" s="1"/>
      <c r="L4" s="1"/>
      <c r="R4" s="1"/>
    </row>
    <row r="5" spans="1:18" ht="63.75" thickBot="1" x14ac:dyDescent="0.4">
      <c r="A5" s="88" t="s">
        <v>62</v>
      </c>
      <c r="B5" s="89"/>
      <c r="C5" s="8" t="s">
        <v>58</v>
      </c>
      <c r="D5" s="8" t="s">
        <v>60</v>
      </c>
      <c r="E5" s="58" t="s">
        <v>127</v>
      </c>
      <c r="F5" s="10" t="s">
        <v>39</v>
      </c>
      <c r="H5" s="88" t="s">
        <v>43</v>
      </c>
      <c r="I5" s="89"/>
      <c r="J5" s="8" t="s">
        <v>117</v>
      </c>
      <c r="K5" s="58" t="s">
        <v>127</v>
      </c>
      <c r="L5" s="10" t="s">
        <v>39</v>
      </c>
      <c r="N5" s="88" t="s">
        <v>43</v>
      </c>
      <c r="O5" s="89"/>
      <c r="P5" s="8" t="s">
        <v>117</v>
      </c>
      <c r="Q5" s="58" t="s">
        <v>127</v>
      </c>
      <c r="R5" s="10" t="s">
        <v>39</v>
      </c>
    </row>
    <row r="6" spans="1:18" ht="18.75" x14ac:dyDescent="0.3">
      <c r="A6" s="90" t="s">
        <v>0</v>
      </c>
      <c r="B6" s="11" t="s">
        <v>1</v>
      </c>
      <c r="C6" s="22">
        <v>590000</v>
      </c>
      <c r="D6" s="22">
        <f>C6</f>
        <v>590000</v>
      </c>
      <c r="E6" s="18">
        <f>39656.85+40295.33+44324.47+50538.33+56592.72+46702.05</f>
        <v>278109.75</v>
      </c>
      <c r="F6" s="14">
        <f>D6-E6</f>
        <v>311890.25</v>
      </c>
      <c r="H6" s="90" t="s">
        <v>0</v>
      </c>
      <c r="I6" s="11" t="s">
        <v>1</v>
      </c>
      <c r="J6" s="22"/>
      <c r="K6" s="18">
        <v>8838.7999999999993</v>
      </c>
      <c r="L6" s="14">
        <f>J6-K6</f>
        <v>-8838.7999999999993</v>
      </c>
      <c r="N6" s="90" t="s">
        <v>0</v>
      </c>
      <c r="O6" s="11" t="s">
        <v>1</v>
      </c>
      <c r="P6" s="22"/>
      <c r="Q6" s="18"/>
      <c r="R6" s="14">
        <f>P6-Q6</f>
        <v>0</v>
      </c>
    </row>
    <row r="7" spans="1:18" ht="18.75" x14ac:dyDescent="0.3">
      <c r="A7" s="91"/>
      <c r="B7" s="3" t="s">
        <v>2</v>
      </c>
      <c r="C7" s="23">
        <f>SUM(C8:C11)</f>
        <v>28000</v>
      </c>
      <c r="D7" s="22">
        <f t="shared" ref="D7:D34" si="0">C7</f>
        <v>28000</v>
      </c>
      <c r="E7" s="17">
        <f>SUM(E8:E11)</f>
        <v>9583.36</v>
      </c>
      <c r="F7" s="15">
        <f t="shared" ref="F7:F35" si="1">D7-E7</f>
        <v>18416.64</v>
      </c>
      <c r="H7" s="91"/>
      <c r="I7" s="3" t="s">
        <v>2</v>
      </c>
      <c r="J7" s="23"/>
      <c r="K7" s="17"/>
      <c r="L7" s="15">
        <f t="shared" ref="L7:L11" si="2">J7-K7</f>
        <v>0</v>
      </c>
      <c r="N7" s="91"/>
      <c r="O7" s="3" t="s">
        <v>2</v>
      </c>
      <c r="P7" s="23"/>
      <c r="Q7" s="17"/>
      <c r="R7" s="15">
        <f t="shared" ref="R7:R11" si="3">P7-Q7</f>
        <v>0</v>
      </c>
    </row>
    <row r="8" spans="1:18" ht="18.75" x14ac:dyDescent="0.3">
      <c r="A8" s="7" t="s">
        <v>3</v>
      </c>
      <c r="B8" s="4" t="s">
        <v>4</v>
      </c>
      <c r="C8" s="24">
        <v>5000</v>
      </c>
      <c r="D8" s="22">
        <f t="shared" si="0"/>
        <v>5000</v>
      </c>
      <c r="E8" s="19">
        <f>750+925+1075+1000+500</f>
        <v>4250</v>
      </c>
      <c r="F8" s="16">
        <f t="shared" si="1"/>
        <v>750</v>
      </c>
      <c r="H8" s="7" t="s">
        <v>3</v>
      </c>
      <c r="I8" s="4" t="s">
        <v>4</v>
      </c>
      <c r="J8" s="24"/>
      <c r="K8" s="19"/>
      <c r="L8" s="16">
        <f t="shared" si="2"/>
        <v>0</v>
      </c>
      <c r="N8" s="7" t="s">
        <v>3</v>
      </c>
      <c r="O8" s="4" t="s">
        <v>4</v>
      </c>
      <c r="P8" s="24"/>
      <c r="Q8" s="19"/>
      <c r="R8" s="16">
        <f t="shared" si="3"/>
        <v>0</v>
      </c>
    </row>
    <row r="9" spans="1:18" ht="18.75" x14ac:dyDescent="0.3">
      <c r="A9" s="7" t="s">
        <v>5</v>
      </c>
      <c r="B9" s="4" t="s">
        <v>6</v>
      </c>
      <c r="C9" s="24">
        <v>20000</v>
      </c>
      <c r="D9" s="22">
        <f t="shared" si="0"/>
        <v>20000</v>
      </c>
      <c r="E9" s="19">
        <f>750.22+723.76+723.76+723.76+723.76+763.15</f>
        <v>4408.41</v>
      </c>
      <c r="F9" s="16">
        <f t="shared" si="1"/>
        <v>15591.59</v>
      </c>
      <c r="H9" s="7" t="s">
        <v>5</v>
      </c>
      <c r="I9" s="4" t="s">
        <v>6</v>
      </c>
      <c r="J9" s="24"/>
      <c r="K9" s="19"/>
      <c r="L9" s="16">
        <f t="shared" si="2"/>
        <v>0</v>
      </c>
      <c r="N9" s="7" t="s">
        <v>5</v>
      </c>
      <c r="O9" s="4" t="s">
        <v>6</v>
      </c>
      <c r="P9" s="24"/>
      <c r="Q9" s="19"/>
      <c r="R9" s="16">
        <f t="shared" si="3"/>
        <v>0</v>
      </c>
    </row>
    <row r="10" spans="1:18" ht="18.75" x14ac:dyDescent="0.3">
      <c r="A10" s="7" t="s">
        <v>7</v>
      </c>
      <c r="B10" s="4" t="s">
        <v>8</v>
      </c>
      <c r="C10" s="21"/>
      <c r="D10" s="22">
        <f t="shared" si="0"/>
        <v>0</v>
      </c>
      <c r="E10" s="19"/>
      <c r="F10" s="16">
        <f t="shared" si="1"/>
        <v>0</v>
      </c>
      <c r="H10" s="7" t="s">
        <v>7</v>
      </c>
      <c r="I10" s="4" t="s">
        <v>8</v>
      </c>
      <c r="J10" s="21"/>
      <c r="K10" s="19"/>
      <c r="L10" s="16">
        <f t="shared" si="2"/>
        <v>0</v>
      </c>
      <c r="N10" s="7" t="s">
        <v>7</v>
      </c>
      <c r="O10" s="4" t="s">
        <v>8</v>
      </c>
      <c r="P10" s="21"/>
      <c r="Q10" s="19"/>
      <c r="R10" s="16">
        <f t="shared" si="3"/>
        <v>0</v>
      </c>
    </row>
    <row r="11" spans="1:18" ht="18.75" x14ac:dyDescent="0.3">
      <c r="A11" s="7" t="s">
        <v>9</v>
      </c>
      <c r="B11" s="4" t="s">
        <v>10</v>
      </c>
      <c r="C11" s="24">
        <v>3000</v>
      </c>
      <c r="D11" s="22">
        <f t="shared" si="0"/>
        <v>3000</v>
      </c>
      <c r="E11" s="19">
        <f>317.08+153.39+267.14+187.34</f>
        <v>924.94999999999993</v>
      </c>
      <c r="F11" s="16">
        <f t="shared" si="1"/>
        <v>2075.0500000000002</v>
      </c>
      <c r="H11" s="7" t="s">
        <v>9</v>
      </c>
      <c r="I11" s="4" t="s">
        <v>10</v>
      </c>
      <c r="J11" s="24"/>
      <c r="K11" s="19"/>
      <c r="L11" s="16">
        <f t="shared" si="2"/>
        <v>0</v>
      </c>
      <c r="N11" s="7" t="s">
        <v>9</v>
      </c>
      <c r="O11" s="4" t="s">
        <v>10</v>
      </c>
      <c r="P11" s="24"/>
      <c r="Q11" s="19"/>
      <c r="R11" s="16">
        <f t="shared" si="3"/>
        <v>0</v>
      </c>
    </row>
    <row r="12" spans="1:18" ht="18.75" x14ac:dyDescent="0.3">
      <c r="A12" s="7"/>
      <c r="B12" s="4"/>
      <c r="C12" s="24"/>
      <c r="D12" s="22">
        <f t="shared" si="0"/>
        <v>0</v>
      </c>
      <c r="E12" s="19"/>
      <c r="F12" s="16"/>
      <c r="H12" s="7"/>
      <c r="I12" s="4"/>
      <c r="J12" s="24"/>
      <c r="K12" s="19"/>
      <c r="L12" s="16"/>
      <c r="N12" s="7"/>
      <c r="O12" s="4"/>
      <c r="P12" s="24"/>
      <c r="Q12" s="19"/>
      <c r="R12" s="16"/>
    </row>
    <row r="13" spans="1:18" ht="18.75" x14ac:dyDescent="0.3">
      <c r="A13" s="7" t="s">
        <v>11</v>
      </c>
      <c r="B13" s="3" t="s">
        <v>12</v>
      </c>
      <c r="C13" s="23">
        <f>SUM(C14:C17)</f>
        <v>144117.59999999998</v>
      </c>
      <c r="D13" s="22">
        <f t="shared" si="0"/>
        <v>144117.59999999998</v>
      </c>
      <c r="E13" s="23">
        <f>SUM(E14:E17)</f>
        <v>63370.31</v>
      </c>
      <c r="F13" s="15">
        <f>D13-E13</f>
        <v>80747.289999999979</v>
      </c>
      <c r="H13" s="7" t="s">
        <v>11</v>
      </c>
      <c r="I13" s="3" t="s">
        <v>12</v>
      </c>
      <c r="J13" s="23"/>
      <c r="K13" s="23">
        <f>K14+K15+K16+K17</f>
        <v>2061.1999999999998</v>
      </c>
      <c r="L13" s="15">
        <f>J13-K13</f>
        <v>-2061.1999999999998</v>
      </c>
      <c r="N13" s="7" t="s">
        <v>11</v>
      </c>
      <c r="O13" s="3" t="s">
        <v>12</v>
      </c>
      <c r="P13" s="23"/>
      <c r="Q13" s="23"/>
      <c r="R13" s="15">
        <f>P13-Q13</f>
        <v>0</v>
      </c>
    </row>
    <row r="14" spans="1:18" ht="18.75" x14ac:dyDescent="0.3">
      <c r="A14" s="7" t="s">
        <v>13</v>
      </c>
      <c r="B14" s="4" t="s">
        <v>14</v>
      </c>
      <c r="C14" s="24">
        <f>(C6+C7)*11.42%</f>
        <v>70575.599999999991</v>
      </c>
      <c r="D14" s="22">
        <f t="shared" si="0"/>
        <v>70575.599999999991</v>
      </c>
      <c r="E14" s="19">
        <f>4773.81+4821.94+5289.16+6088.51+6339.55+5158.35</f>
        <v>32471.32</v>
      </c>
      <c r="F14" s="16">
        <f>D14-E14</f>
        <v>38104.279999999992</v>
      </c>
      <c r="H14" s="7" t="s">
        <v>13</v>
      </c>
      <c r="I14" s="4" t="s">
        <v>14</v>
      </c>
      <c r="J14" s="24"/>
      <c r="K14" s="19">
        <v>1009.4</v>
      </c>
      <c r="L14" s="16">
        <f>J14-K14</f>
        <v>-1009.4</v>
      </c>
      <c r="N14" s="7" t="s">
        <v>13</v>
      </c>
      <c r="O14" s="4" t="s">
        <v>14</v>
      </c>
      <c r="P14" s="24"/>
      <c r="Q14" s="19"/>
      <c r="R14" s="16">
        <f>P14-Q14</f>
        <v>0</v>
      </c>
    </row>
    <row r="15" spans="1:18" ht="18.75" x14ac:dyDescent="0.3">
      <c r="A15" s="7" t="s">
        <v>15</v>
      </c>
      <c r="B15" s="4" t="s">
        <v>16</v>
      </c>
      <c r="C15" s="24">
        <f>(C6+C7)*4.3%</f>
        <v>26573.999999999996</v>
      </c>
      <c r="D15" s="22">
        <f t="shared" si="0"/>
        <v>26573.999999999996</v>
      </c>
      <c r="E15" s="19">
        <f>1561.59+1620.97+1768.38+1992.04+2105.28+1753.34</f>
        <v>10801.6</v>
      </c>
      <c r="F15" s="16">
        <f>D15-E15</f>
        <v>15772.399999999996</v>
      </c>
      <c r="H15" s="7" t="s">
        <v>15</v>
      </c>
      <c r="I15" s="4" t="s">
        <v>16</v>
      </c>
      <c r="J15" s="24"/>
      <c r="K15" s="19">
        <v>380.04</v>
      </c>
      <c r="L15" s="16">
        <f>J15-K15</f>
        <v>-380.04</v>
      </c>
      <c r="N15" s="7" t="s">
        <v>15</v>
      </c>
      <c r="O15" s="4" t="s">
        <v>16</v>
      </c>
      <c r="P15" s="24"/>
      <c r="Q15" s="19"/>
      <c r="R15" s="16">
        <f>P15-Q15</f>
        <v>0</v>
      </c>
    </row>
    <row r="16" spans="1:18" ht="18.75" x14ac:dyDescent="0.3">
      <c r="A16" s="7" t="s">
        <v>17</v>
      </c>
      <c r="B16" s="4" t="s">
        <v>18</v>
      </c>
      <c r="C16" s="24">
        <f>(C6+C7)*4.8%</f>
        <v>29664</v>
      </c>
      <c r="D16" s="22">
        <f t="shared" si="0"/>
        <v>29664</v>
      </c>
      <c r="E16" s="19">
        <f>2022.39+2016.88+2200.55+2549.61+2667.8+2131.66</f>
        <v>13588.89</v>
      </c>
      <c r="F16" s="16">
        <f t="shared" ref="F16:F17" si="4">D16-E16</f>
        <v>16075.11</v>
      </c>
      <c r="H16" s="7" t="s">
        <v>17</v>
      </c>
      <c r="I16" s="4" t="s">
        <v>18</v>
      </c>
      <c r="J16" s="24"/>
      <c r="K16" s="19">
        <v>424.26</v>
      </c>
      <c r="L16" s="16">
        <f t="shared" ref="L16:L17" si="5">J16-K16</f>
        <v>-424.26</v>
      </c>
      <c r="N16" s="7" t="s">
        <v>17</v>
      </c>
      <c r="O16" s="4" t="s">
        <v>18</v>
      </c>
      <c r="P16" s="24"/>
      <c r="Q16" s="19"/>
      <c r="R16" s="16">
        <f t="shared" ref="R16:R17" si="6">P16-Q16</f>
        <v>0</v>
      </c>
    </row>
    <row r="17" spans="1:18" ht="18.75" x14ac:dyDescent="0.3">
      <c r="A17" s="7" t="s">
        <v>19</v>
      </c>
      <c r="B17" s="4" t="s">
        <v>20</v>
      </c>
      <c r="C17" s="24">
        <f>(C6+C7)*2.8%</f>
        <v>17304</v>
      </c>
      <c r="D17" s="22">
        <f t="shared" si="0"/>
        <v>17304</v>
      </c>
      <c r="E17" s="19">
        <f>958.22+974.01+1064.15+1235.05+1273.58+1003.49</f>
        <v>6508.5</v>
      </c>
      <c r="F17" s="16">
        <f t="shared" si="4"/>
        <v>10795.5</v>
      </c>
      <c r="H17" s="7" t="s">
        <v>19</v>
      </c>
      <c r="I17" s="4" t="s">
        <v>20</v>
      </c>
      <c r="J17" s="24"/>
      <c r="K17" s="19">
        <v>247.5</v>
      </c>
      <c r="L17" s="16">
        <f t="shared" si="5"/>
        <v>-247.5</v>
      </c>
      <c r="N17" s="7" t="s">
        <v>19</v>
      </c>
      <c r="O17" s="4" t="s">
        <v>20</v>
      </c>
      <c r="P17" s="24"/>
      <c r="Q17" s="19"/>
      <c r="R17" s="16">
        <f t="shared" si="6"/>
        <v>0</v>
      </c>
    </row>
    <row r="18" spans="1:18" ht="18.75" x14ac:dyDescent="0.3">
      <c r="A18" s="47"/>
      <c r="B18" s="4"/>
      <c r="C18" s="24"/>
      <c r="D18" s="22">
        <f t="shared" si="0"/>
        <v>0</v>
      </c>
      <c r="E18" s="19"/>
      <c r="F18" s="16"/>
      <c r="H18" s="47"/>
      <c r="I18" s="4"/>
      <c r="J18" s="24"/>
      <c r="K18" s="19"/>
      <c r="L18" s="16"/>
      <c r="N18" s="47"/>
      <c r="O18" s="4"/>
      <c r="P18" s="24"/>
      <c r="Q18" s="19"/>
      <c r="R18" s="16"/>
    </row>
    <row r="19" spans="1:18" ht="18.75" x14ac:dyDescent="0.3">
      <c r="A19" s="48" t="s">
        <v>40</v>
      </c>
      <c r="B19" s="4" t="s">
        <v>29</v>
      </c>
      <c r="C19" s="24">
        <f>SUM(C20:C29)</f>
        <v>104638</v>
      </c>
      <c r="D19" s="22">
        <f>D20+D21+D22+D23+D24+D25+D26+D27+D28+D29</f>
        <v>111969.03</v>
      </c>
      <c r="E19" s="17">
        <f>SUM(E20:E29)</f>
        <v>45019.89</v>
      </c>
      <c r="F19" s="15">
        <f t="shared" si="1"/>
        <v>66949.14</v>
      </c>
      <c r="H19" s="48" t="s">
        <v>40</v>
      </c>
      <c r="I19" s="4" t="s">
        <v>29</v>
      </c>
      <c r="J19" s="24"/>
      <c r="K19" s="17">
        <f>K20+K21+K22+K23+K24+K25+K26+K27+K28+K29</f>
        <v>1959.9999999999998</v>
      </c>
      <c r="L19" s="15">
        <f>J19-K19</f>
        <v>-1959.9999999999998</v>
      </c>
      <c r="N19" s="48" t="s">
        <v>40</v>
      </c>
      <c r="O19" s="4" t="s">
        <v>29</v>
      </c>
      <c r="P19" s="24"/>
      <c r="Q19" s="17"/>
      <c r="R19" s="15">
        <f>P19-Q19</f>
        <v>0</v>
      </c>
    </row>
    <row r="20" spans="1:18" ht="18.75" x14ac:dyDescent="0.3">
      <c r="A20" s="43" t="s">
        <v>21</v>
      </c>
      <c r="B20" s="44" t="s">
        <v>22</v>
      </c>
      <c r="C20" s="45">
        <v>35000</v>
      </c>
      <c r="D20" s="22">
        <f t="shared" si="0"/>
        <v>35000</v>
      </c>
      <c r="E20" s="49">
        <f>3246+3872+3105.5+3168+2812.5+2052.5</f>
        <v>18256.5</v>
      </c>
      <c r="F20" s="16">
        <f t="shared" si="1"/>
        <v>16743.5</v>
      </c>
      <c r="H20" s="43" t="s">
        <v>21</v>
      </c>
      <c r="I20" s="44" t="s">
        <v>22</v>
      </c>
      <c r="J20" s="45"/>
      <c r="K20" s="49"/>
      <c r="L20" s="16">
        <f t="shared" ref="L20" si="7">J20-K20</f>
        <v>0</v>
      </c>
      <c r="N20" s="43" t="s">
        <v>21</v>
      </c>
      <c r="O20" s="44" t="s">
        <v>22</v>
      </c>
      <c r="P20" s="45"/>
      <c r="Q20" s="49"/>
      <c r="R20" s="16">
        <f t="shared" ref="R20" si="8">P20-Q20</f>
        <v>0</v>
      </c>
    </row>
    <row r="21" spans="1:18" ht="18.75" x14ac:dyDescent="0.3">
      <c r="A21" s="43" t="s">
        <v>41</v>
      </c>
      <c r="B21" s="44" t="s">
        <v>30</v>
      </c>
      <c r="C21" s="45"/>
      <c r="D21" s="22">
        <f t="shared" si="0"/>
        <v>0</v>
      </c>
      <c r="E21" s="46"/>
      <c r="F21" s="15"/>
      <c r="H21" s="43" t="s">
        <v>41</v>
      </c>
      <c r="I21" s="44" t="s">
        <v>30</v>
      </c>
      <c r="J21" s="45"/>
      <c r="K21" s="46"/>
      <c r="L21" s="15"/>
      <c r="N21" s="43" t="s">
        <v>41</v>
      </c>
      <c r="O21" s="44" t="s">
        <v>30</v>
      </c>
      <c r="P21" s="45"/>
      <c r="Q21" s="46"/>
      <c r="R21" s="15"/>
    </row>
    <row r="22" spans="1:18" ht="18.75" x14ac:dyDescent="0.3">
      <c r="A22" s="43" t="s">
        <v>42</v>
      </c>
      <c r="B22" s="44" t="s">
        <v>31</v>
      </c>
      <c r="C22" s="45">
        <v>1000</v>
      </c>
      <c r="D22" s="22">
        <f t="shared" si="0"/>
        <v>1000</v>
      </c>
      <c r="E22" s="49"/>
      <c r="F22" s="16">
        <f t="shared" si="1"/>
        <v>1000</v>
      </c>
      <c r="H22" s="43" t="s">
        <v>42</v>
      </c>
      <c r="I22" s="44" t="s">
        <v>31</v>
      </c>
      <c r="J22" s="45"/>
      <c r="K22" s="49"/>
      <c r="L22" s="16">
        <f t="shared" ref="L22:L23" si="9">J22-K22</f>
        <v>0</v>
      </c>
      <c r="N22" s="43" t="s">
        <v>42</v>
      </c>
      <c r="O22" s="44" t="s">
        <v>31</v>
      </c>
      <c r="P22" s="45"/>
      <c r="Q22" s="49"/>
      <c r="R22" s="16">
        <f t="shared" ref="R22:R23" si="10">P22-Q22</f>
        <v>0</v>
      </c>
    </row>
    <row r="23" spans="1:18" ht="18.75" x14ac:dyDescent="0.3">
      <c r="A23" s="7" t="s">
        <v>23</v>
      </c>
      <c r="B23" s="12" t="s">
        <v>24</v>
      </c>
      <c r="C23" s="21"/>
      <c r="D23" s="22">
        <f>C23+7331.03</f>
        <v>7331.03</v>
      </c>
      <c r="E23" s="19"/>
      <c r="F23" s="16">
        <f t="shared" si="1"/>
        <v>7331.03</v>
      </c>
      <c r="H23" s="7" t="s">
        <v>23</v>
      </c>
      <c r="I23" s="12" t="s">
        <v>24</v>
      </c>
      <c r="J23" s="21"/>
      <c r="K23" s="19"/>
      <c r="L23" s="16">
        <f t="shared" si="9"/>
        <v>0</v>
      </c>
      <c r="N23" s="7" t="s">
        <v>23</v>
      </c>
      <c r="O23" s="12" t="s">
        <v>24</v>
      </c>
      <c r="P23" s="21"/>
      <c r="Q23" s="19"/>
      <c r="R23" s="16">
        <f t="shared" si="10"/>
        <v>0</v>
      </c>
    </row>
    <row r="24" spans="1:18" ht="18.75" x14ac:dyDescent="0.3">
      <c r="A24" s="7" t="s">
        <v>32</v>
      </c>
      <c r="B24" s="12" t="s">
        <v>33</v>
      </c>
      <c r="C24" s="24">
        <v>10000</v>
      </c>
      <c r="D24" s="22">
        <f t="shared" si="0"/>
        <v>10000</v>
      </c>
      <c r="E24" s="19">
        <f>410.08+3595.84+620.4+2669.94+98.8+1936.31+1220.9</f>
        <v>10552.27</v>
      </c>
      <c r="F24" s="16">
        <f>D24-E24</f>
        <v>-552.27000000000044</v>
      </c>
      <c r="H24" s="7" t="s">
        <v>32</v>
      </c>
      <c r="I24" s="12" t="s">
        <v>33</v>
      </c>
      <c r="J24" s="24"/>
      <c r="K24" s="19">
        <f>178+232.08+1095.12</f>
        <v>1505.1999999999998</v>
      </c>
      <c r="L24" s="16">
        <f>J24-K24</f>
        <v>-1505.1999999999998</v>
      </c>
      <c r="N24" s="7" t="s">
        <v>32</v>
      </c>
      <c r="O24" s="12" t="s">
        <v>33</v>
      </c>
      <c r="P24" s="24">
        <f>18794.99+57835.48</f>
        <v>76630.47</v>
      </c>
      <c r="Q24" s="19">
        <f>14821.8+14095.95+9397.5</f>
        <v>38315.25</v>
      </c>
      <c r="R24" s="16">
        <f>P24-Q24</f>
        <v>38315.22</v>
      </c>
    </row>
    <row r="25" spans="1:18" ht="18.75" x14ac:dyDescent="0.3">
      <c r="A25" s="7" t="s">
        <v>34</v>
      </c>
      <c r="B25" s="4" t="s">
        <v>35</v>
      </c>
      <c r="C25" s="24">
        <v>16638</v>
      </c>
      <c r="D25" s="22">
        <f t="shared" si="0"/>
        <v>16638</v>
      </c>
      <c r="E25" s="19">
        <f>233.79+240.68+242.51+345.23+229.06+202.49+187.93</f>
        <v>1681.69</v>
      </c>
      <c r="F25" s="16">
        <f>D25-E25</f>
        <v>14956.31</v>
      </c>
      <c r="H25" s="7" t="s">
        <v>34</v>
      </c>
      <c r="I25" s="4" t="s">
        <v>35</v>
      </c>
      <c r="J25" s="24"/>
      <c r="K25" s="19"/>
      <c r="L25" s="16">
        <f>J25-K25</f>
        <v>0</v>
      </c>
      <c r="N25" s="7" t="s">
        <v>34</v>
      </c>
      <c r="O25" s="4" t="s">
        <v>35</v>
      </c>
      <c r="P25" s="24"/>
      <c r="Q25" s="19"/>
      <c r="R25" s="16">
        <f>P25-Q25</f>
        <v>0</v>
      </c>
    </row>
    <row r="26" spans="1:18" ht="18.75" x14ac:dyDescent="0.3">
      <c r="A26" s="42" t="s">
        <v>44</v>
      </c>
      <c r="B26" s="12" t="s">
        <v>25</v>
      </c>
      <c r="C26" s="24">
        <v>30000</v>
      </c>
      <c r="D26" s="22">
        <f t="shared" si="0"/>
        <v>30000</v>
      </c>
      <c r="E26" s="19">
        <f>584.22+2186.87+656.74+1297.43+5163.95+2776.24+1093.98</f>
        <v>13759.429999999998</v>
      </c>
      <c r="F26" s="15">
        <f t="shared" si="1"/>
        <v>16240.570000000002</v>
      </c>
      <c r="H26" s="42" t="s">
        <v>44</v>
      </c>
      <c r="I26" s="12" t="s">
        <v>25</v>
      </c>
      <c r="J26" s="24"/>
      <c r="K26" s="19">
        <f>454.8</f>
        <v>454.8</v>
      </c>
      <c r="L26" s="15">
        <f t="shared" ref="L26:L28" si="11">J26-K26</f>
        <v>-454.8</v>
      </c>
      <c r="N26" s="42" t="s">
        <v>44</v>
      </c>
      <c r="O26" s="12" t="s">
        <v>25</v>
      </c>
      <c r="P26" s="24"/>
      <c r="Q26" s="19"/>
      <c r="R26" s="15">
        <f t="shared" ref="R26:R33" si="12">P26-Q26</f>
        <v>0</v>
      </c>
    </row>
    <row r="27" spans="1:18" ht="18.75" x14ac:dyDescent="0.3">
      <c r="A27" s="42" t="s">
        <v>36</v>
      </c>
      <c r="B27" s="12" t="s">
        <v>37</v>
      </c>
      <c r="C27" s="24">
        <v>10000</v>
      </c>
      <c r="D27" s="22">
        <f t="shared" si="0"/>
        <v>10000</v>
      </c>
      <c r="E27" s="19"/>
      <c r="F27" s="16">
        <f t="shared" si="1"/>
        <v>10000</v>
      </c>
      <c r="H27" s="42" t="s">
        <v>36</v>
      </c>
      <c r="I27" s="12" t="s">
        <v>37</v>
      </c>
      <c r="J27" s="24"/>
      <c r="K27" s="19"/>
      <c r="L27" s="16">
        <f t="shared" si="11"/>
        <v>0</v>
      </c>
      <c r="N27" s="42" t="s">
        <v>36</v>
      </c>
      <c r="O27" s="12" t="s">
        <v>37</v>
      </c>
      <c r="P27" s="24"/>
      <c r="Q27" s="19"/>
      <c r="R27" s="16">
        <f t="shared" si="12"/>
        <v>0</v>
      </c>
    </row>
    <row r="28" spans="1:18" ht="18.75" x14ac:dyDescent="0.3">
      <c r="A28" s="42" t="s">
        <v>45</v>
      </c>
      <c r="B28" s="12" t="s">
        <v>38</v>
      </c>
      <c r="C28" s="24">
        <v>2000</v>
      </c>
      <c r="D28" s="22">
        <f t="shared" si="0"/>
        <v>2000</v>
      </c>
      <c r="E28" s="19">
        <f>50+50+148+276+246</f>
        <v>770</v>
      </c>
      <c r="F28" s="16">
        <f t="shared" si="1"/>
        <v>1230</v>
      </c>
      <c r="H28" s="42" t="s">
        <v>45</v>
      </c>
      <c r="I28" s="12" t="s">
        <v>38</v>
      </c>
      <c r="J28" s="24"/>
      <c r="K28" s="19"/>
      <c r="L28" s="16">
        <f t="shared" si="11"/>
        <v>0</v>
      </c>
      <c r="N28" s="42" t="s">
        <v>45</v>
      </c>
      <c r="O28" s="12" t="s">
        <v>120</v>
      </c>
      <c r="P28" s="24">
        <v>26420.9</v>
      </c>
      <c r="Q28" s="19">
        <f>13210.45</f>
        <v>13210.45</v>
      </c>
      <c r="R28" s="16">
        <f t="shared" si="12"/>
        <v>13210.45</v>
      </c>
    </row>
    <row r="29" spans="1:18" ht="18.75" x14ac:dyDescent="0.3">
      <c r="A29" s="42" t="s">
        <v>46</v>
      </c>
      <c r="B29" s="12" t="s">
        <v>49</v>
      </c>
      <c r="C29" s="24"/>
      <c r="D29" s="22">
        <f t="shared" si="0"/>
        <v>0</v>
      </c>
      <c r="E29" s="19"/>
      <c r="F29" s="16"/>
      <c r="H29" s="42" t="s">
        <v>46</v>
      </c>
      <c r="I29" s="12" t="s">
        <v>49</v>
      </c>
      <c r="J29" s="24"/>
      <c r="K29" s="19"/>
      <c r="L29" s="16"/>
      <c r="N29" s="42" t="s">
        <v>46</v>
      </c>
      <c r="O29" s="12" t="s">
        <v>121</v>
      </c>
      <c r="P29" s="24">
        <v>30620.16</v>
      </c>
      <c r="Q29" s="19">
        <f>15310.08</f>
        <v>15310.08</v>
      </c>
      <c r="R29" s="16">
        <f t="shared" si="12"/>
        <v>15310.08</v>
      </c>
    </row>
    <row r="30" spans="1:18" ht="18.75" x14ac:dyDescent="0.3">
      <c r="A30" s="42" t="s">
        <v>47</v>
      </c>
      <c r="B30" s="12" t="s">
        <v>50</v>
      </c>
      <c r="C30" s="24">
        <v>300</v>
      </c>
      <c r="D30" s="22">
        <f t="shared" si="0"/>
        <v>300</v>
      </c>
      <c r="E30" s="19">
        <v>280.86</v>
      </c>
      <c r="F30" s="16">
        <f t="shared" si="1"/>
        <v>19.139999999999986</v>
      </c>
      <c r="H30" s="42" t="s">
        <v>47</v>
      </c>
      <c r="I30" s="12" t="s">
        <v>50</v>
      </c>
      <c r="J30" s="24"/>
      <c r="K30" s="19"/>
      <c r="L30" s="16">
        <f t="shared" ref="L30:L33" si="13">J30-K30</f>
        <v>0</v>
      </c>
      <c r="N30" s="42" t="s">
        <v>47</v>
      </c>
      <c r="O30" s="12" t="s">
        <v>122</v>
      </c>
      <c r="P30" s="24">
        <v>41415.81</v>
      </c>
      <c r="Q30" s="19">
        <f>20707.91</f>
        <v>20707.91</v>
      </c>
      <c r="R30" s="16">
        <f t="shared" si="12"/>
        <v>20707.899999999998</v>
      </c>
    </row>
    <row r="31" spans="1:18" ht="18.75" x14ac:dyDescent="0.3">
      <c r="A31" s="7" t="s">
        <v>48</v>
      </c>
      <c r="B31" s="12" t="s">
        <v>51</v>
      </c>
      <c r="C31" s="24"/>
      <c r="D31" s="22">
        <f t="shared" si="0"/>
        <v>0</v>
      </c>
      <c r="E31" s="19"/>
      <c r="F31" s="16">
        <f t="shared" si="1"/>
        <v>0</v>
      </c>
      <c r="H31" s="7" t="s">
        <v>48</v>
      </c>
      <c r="I31" s="12" t="s">
        <v>51</v>
      </c>
      <c r="J31" s="24"/>
      <c r="K31" s="19"/>
      <c r="L31" s="16">
        <f t="shared" si="13"/>
        <v>0</v>
      </c>
      <c r="N31" s="7" t="s">
        <v>48</v>
      </c>
      <c r="O31" s="12" t="s">
        <v>51</v>
      </c>
      <c r="P31" s="24"/>
      <c r="Q31" s="19"/>
      <c r="R31" s="16">
        <f t="shared" si="12"/>
        <v>0</v>
      </c>
    </row>
    <row r="32" spans="1:18" ht="18.75" x14ac:dyDescent="0.3">
      <c r="A32" s="7" t="s">
        <v>74</v>
      </c>
      <c r="B32" s="12" t="s">
        <v>72</v>
      </c>
      <c r="C32" s="24">
        <v>1200</v>
      </c>
      <c r="D32" s="22">
        <f t="shared" si="0"/>
        <v>1200</v>
      </c>
      <c r="E32" s="74"/>
      <c r="F32" s="7"/>
      <c r="H32" s="13" t="s">
        <v>56</v>
      </c>
      <c r="I32" s="12" t="s">
        <v>57</v>
      </c>
      <c r="J32" s="25">
        <f>7057+6650+4932</f>
        <v>18639</v>
      </c>
      <c r="K32" s="19"/>
      <c r="L32" s="16">
        <f t="shared" si="13"/>
        <v>18639</v>
      </c>
      <c r="N32" s="13" t="s">
        <v>56</v>
      </c>
      <c r="O32" s="12" t="s">
        <v>57</v>
      </c>
      <c r="P32" s="71">
        <v>88273.22</v>
      </c>
      <c r="Q32" s="19"/>
      <c r="R32" s="16">
        <f>P32-Q34</f>
        <v>729.52999999999884</v>
      </c>
    </row>
    <row r="33" spans="1:18" ht="18.75" x14ac:dyDescent="0.3">
      <c r="A33" s="7" t="s">
        <v>75</v>
      </c>
      <c r="B33" s="12" t="s">
        <v>73</v>
      </c>
      <c r="C33" s="24">
        <v>3000</v>
      </c>
      <c r="D33" s="22">
        <f t="shared" si="0"/>
        <v>3000</v>
      </c>
      <c r="E33" s="75">
        <f>2630</f>
        <v>2630</v>
      </c>
      <c r="F33" s="7"/>
      <c r="J33" s="24"/>
      <c r="K33" s="19"/>
      <c r="L33" s="16">
        <f t="shared" si="13"/>
        <v>0</v>
      </c>
      <c r="P33" s="24"/>
      <c r="Q33" s="19"/>
      <c r="R33" s="16">
        <f t="shared" si="12"/>
        <v>0</v>
      </c>
    </row>
    <row r="34" spans="1:18" ht="18.75" x14ac:dyDescent="0.3">
      <c r="A34" s="13" t="s">
        <v>26</v>
      </c>
      <c r="B34" s="12" t="s">
        <v>27</v>
      </c>
      <c r="C34" s="25">
        <v>15985</v>
      </c>
      <c r="D34" s="22">
        <f t="shared" si="0"/>
        <v>15985</v>
      </c>
      <c r="E34" s="19"/>
      <c r="F34" s="16">
        <f t="shared" si="1"/>
        <v>15985</v>
      </c>
      <c r="I34" t="s">
        <v>28</v>
      </c>
      <c r="J34" s="26">
        <f>J32</f>
        <v>18639</v>
      </c>
      <c r="K34" s="55">
        <f>K6+K7+K13+K19+K30+K31</f>
        <v>12860</v>
      </c>
      <c r="L34" s="26">
        <f>J34-K34</f>
        <v>5779</v>
      </c>
      <c r="O34" t="s">
        <v>28</v>
      </c>
      <c r="P34" s="26">
        <f>180758.65</f>
        <v>180758.65</v>
      </c>
      <c r="Q34" s="55">
        <f>Q6+Q24+Q28+Q29+Q307+Q13+Q19+Q30+Q31</f>
        <v>87543.69</v>
      </c>
      <c r="R34" s="26">
        <f>P34-Q34</f>
        <v>93214.959999999992</v>
      </c>
    </row>
    <row r="35" spans="1:18" ht="18.75" x14ac:dyDescent="0.3">
      <c r="C35" s="24"/>
      <c r="D35" s="24"/>
      <c r="E35" s="19"/>
      <c r="F35" s="16">
        <f t="shared" si="1"/>
        <v>0</v>
      </c>
      <c r="J35" s="50"/>
      <c r="K35" s="20"/>
      <c r="P35" s="50"/>
      <c r="Q35" s="20"/>
    </row>
    <row r="36" spans="1:18" ht="18.75" x14ac:dyDescent="0.3">
      <c r="B36" t="s">
        <v>28</v>
      </c>
      <c r="C36" s="26">
        <f>C6+C7+C13+C19+C30+C31+C32+C33</f>
        <v>871255.6</v>
      </c>
      <c r="D36" s="26">
        <f>D6+D7+D13+D19+D30+D31+D32+D33</f>
        <v>878586.63</v>
      </c>
      <c r="E36" s="55">
        <f>E6+E7+E13+E19+E30+E31+E33</f>
        <v>398994.17</v>
      </c>
      <c r="F36" s="55">
        <f>F6+F7+F13+F19+F30+F31</f>
        <v>478022.46</v>
      </c>
      <c r="H36" s="1" t="s">
        <v>53</v>
      </c>
      <c r="J36" s="50"/>
      <c r="K36" s="56" t="s">
        <v>54</v>
      </c>
      <c r="N36" s="1" t="s">
        <v>53</v>
      </c>
      <c r="P36" s="50"/>
      <c r="Q36" s="56" t="s">
        <v>54</v>
      </c>
    </row>
    <row r="37" spans="1:18" ht="18" x14ac:dyDescent="0.25">
      <c r="C37" s="50"/>
      <c r="D37" s="50"/>
      <c r="E37" s="20"/>
      <c r="J37" s="50"/>
      <c r="K37" s="20"/>
      <c r="P37" s="50"/>
      <c r="Q37" s="20"/>
    </row>
    <row r="38" spans="1:18" s="28" customFormat="1" ht="18.75" x14ac:dyDescent="0.3">
      <c r="A38" s="1" t="s">
        <v>53</v>
      </c>
      <c r="B38"/>
      <c r="C38" s="50"/>
      <c r="D38" s="50"/>
      <c r="E38" s="56" t="s">
        <v>54</v>
      </c>
      <c r="F38"/>
      <c r="K38" s="29"/>
      <c r="Q38" s="29"/>
    </row>
    <row r="39" spans="1:18" s="28" customFormat="1" ht="21" x14ac:dyDescent="0.35">
      <c r="A39"/>
      <c r="B39"/>
      <c r="C39" s="50"/>
      <c r="D39" s="50"/>
      <c r="E39" s="20"/>
      <c r="F39"/>
      <c r="H39" s="92"/>
      <c r="I39" s="92"/>
      <c r="J39" s="30"/>
      <c r="K39" s="31"/>
      <c r="L39" s="32"/>
      <c r="N39" s="92"/>
      <c r="O39" s="92"/>
      <c r="P39" s="30"/>
      <c r="Q39" s="31"/>
      <c r="R39" s="32"/>
    </row>
    <row r="40" spans="1:18" s="28" customFormat="1" ht="18" x14ac:dyDescent="0.25">
      <c r="E40" s="29"/>
      <c r="I40" s="27"/>
      <c r="J40" s="33"/>
      <c r="K40" s="34"/>
      <c r="L40" s="35"/>
      <c r="O40" s="27"/>
      <c r="P40" s="33"/>
      <c r="Q40" s="34"/>
      <c r="R40" s="35"/>
    </row>
    <row r="41" spans="1:18" s="28" customFormat="1" ht="21" x14ac:dyDescent="0.35">
      <c r="A41" s="92"/>
      <c r="B41" s="92"/>
      <c r="C41" s="30">
        <f>C34-809.76</f>
        <v>15175.24</v>
      </c>
      <c r="D41" s="30"/>
      <c r="E41" s="31"/>
      <c r="F41" s="32"/>
      <c r="I41" s="27"/>
      <c r="J41" s="36"/>
      <c r="K41" s="37"/>
      <c r="L41" s="35"/>
      <c r="O41" s="27"/>
      <c r="P41" s="36"/>
      <c r="Q41" s="37"/>
      <c r="R41" s="35"/>
    </row>
    <row r="42" spans="1:18" s="28" customFormat="1" ht="18" x14ac:dyDescent="0.25">
      <c r="B42" s="27"/>
      <c r="C42" s="33"/>
      <c r="D42" s="33"/>
      <c r="E42" s="34"/>
      <c r="F42" s="35"/>
      <c r="I42" s="27"/>
      <c r="J42" s="36"/>
      <c r="K42" s="37"/>
      <c r="L42" s="35"/>
      <c r="O42" s="27"/>
      <c r="P42" s="36"/>
      <c r="Q42" s="37"/>
      <c r="R42" s="35"/>
    </row>
    <row r="43" spans="1:18" s="28" customFormat="1" ht="18" x14ac:dyDescent="0.25">
      <c r="B43" s="27"/>
      <c r="C43" s="36"/>
      <c r="D43" s="36"/>
      <c r="E43" s="37"/>
      <c r="F43" s="35"/>
      <c r="I43" s="27"/>
      <c r="J43" s="36"/>
      <c r="K43" s="37"/>
      <c r="L43" s="35"/>
      <c r="O43" s="27"/>
      <c r="P43" s="36"/>
      <c r="Q43" s="37"/>
      <c r="R43" s="35"/>
    </row>
    <row r="44" spans="1:18" s="28" customFormat="1" ht="18" x14ac:dyDescent="0.25">
      <c r="B44" s="27"/>
      <c r="C44" s="36"/>
      <c r="D44" s="36"/>
      <c r="E44" s="37"/>
      <c r="F44" s="35"/>
      <c r="I44" s="27"/>
      <c r="J44" s="36"/>
      <c r="K44" s="37"/>
      <c r="L44" s="35"/>
      <c r="O44" s="27"/>
      <c r="P44" s="36"/>
      <c r="Q44" s="37"/>
      <c r="R44" s="35"/>
    </row>
    <row r="45" spans="1:18" s="28" customFormat="1" ht="18" x14ac:dyDescent="0.25">
      <c r="B45" s="27"/>
      <c r="C45" s="36"/>
      <c r="D45" s="36"/>
      <c r="E45" s="37"/>
      <c r="F45" s="35"/>
      <c r="I45" s="27"/>
      <c r="J45" s="36"/>
      <c r="K45" s="37"/>
      <c r="L45" s="35"/>
      <c r="O45" s="27"/>
      <c r="P45" s="36"/>
      <c r="Q45" s="37"/>
      <c r="R45" s="35"/>
    </row>
    <row r="46" spans="1:18" s="28" customFormat="1" ht="18" x14ac:dyDescent="0.25">
      <c r="B46" s="27"/>
      <c r="C46" s="36"/>
      <c r="D46" s="36"/>
      <c r="E46" s="37"/>
      <c r="F46" s="35"/>
      <c r="I46" s="27"/>
      <c r="J46" s="36"/>
      <c r="K46" s="37"/>
      <c r="L46" s="35"/>
      <c r="O46" s="27"/>
      <c r="P46" s="36"/>
      <c r="Q46" s="37"/>
      <c r="R46" s="35"/>
    </row>
    <row r="47" spans="1:18" s="28" customFormat="1" ht="18" x14ac:dyDescent="0.25">
      <c r="B47" s="27"/>
      <c r="C47" s="36"/>
      <c r="D47" s="36"/>
      <c r="E47" s="37"/>
      <c r="F47" s="35"/>
      <c r="I47" s="27"/>
      <c r="J47" s="36"/>
      <c r="K47" s="37"/>
      <c r="L47" s="35"/>
      <c r="O47" s="27"/>
      <c r="P47" s="36"/>
      <c r="Q47" s="37"/>
      <c r="R47" s="35"/>
    </row>
    <row r="48" spans="1:18" s="28" customFormat="1" ht="18" x14ac:dyDescent="0.25">
      <c r="B48" s="27"/>
      <c r="C48" s="36"/>
      <c r="D48" s="36"/>
      <c r="E48" s="37"/>
      <c r="F48" s="35"/>
      <c r="I48" s="27"/>
      <c r="J48" s="36"/>
      <c r="K48" s="37"/>
      <c r="L48" s="35"/>
      <c r="O48" s="27"/>
      <c r="P48" s="36"/>
      <c r="Q48" s="37"/>
      <c r="R48" s="35"/>
    </row>
    <row r="49" spans="1:18" s="28" customFormat="1" ht="18" x14ac:dyDescent="0.25">
      <c r="B49" s="27"/>
      <c r="C49" s="36"/>
      <c r="D49" s="36"/>
      <c r="E49" s="37"/>
      <c r="F49" s="35"/>
      <c r="I49" s="27"/>
      <c r="J49" s="36"/>
      <c r="K49" s="37"/>
      <c r="L49" s="35"/>
      <c r="O49" s="27"/>
      <c r="P49" s="36"/>
      <c r="Q49" s="37"/>
      <c r="R49" s="35"/>
    </row>
    <row r="50" spans="1:18" s="28" customFormat="1" ht="18" x14ac:dyDescent="0.25">
      <c r="B50" s="27"/>
      <c r="C50" s="36"/>
      <c r="D50" s="36"/>
      <c r="E50" s="37"/>
      <c r="F50" s="35"/>
      <c r="I50" s="27"/>
      <c r="J50" s="36"/>
      <c r="K50" s="37"/>
      <c r="L50" s="35"/>
      <c r="O50" s="27"/>
      <c r="P50" s="36"/>
      <c r="Q50" s="37"/>
      <c r="R50" s="35"/>
    </row>
    <row r="51" spans="1:18" s="28" customFormat="1" ht="18" x14ac:dyDescent="0.25">
      <c r="B51" s="27"/>
      <c r="C51" s="36"/>
      <c r="D51" s="36"/>
      <c r="E51" s="37"/>
      <c r="F51" s="35"/>
      <c r="I51" s="27"/>
      <c r="J51" s="36"/>
      <c r="K51" s="37"/>
      <c r="L51" s="35"/>
      <c r="O51" s="27"/>
      <c r="P51" s="36"/>
      <c r="Q51" s="37"/>
      <c r="R51" s="35"/>
    </row>
    <row r="52" spans="1:18" s="28" customFormat="1" ht="18" x14ac:dyDescent="0.25">
      <c r="B52" s="27"/>
      <c r="C52" s="36"/>
      <c r="D52" s="36"/>
      <c r="E52" s="37"/>
      <c r="F52" s="35"/>
      <c r="I52" s="27"/>
      <c r="J52" s="36"/>
      <c r="K52" s="37"/>
      <c r="L52" s="35"/>
      <c r="O52" s="27"/>
      <c r="P52" s="36"/>
      <c r="Q52" s="37"/>
      <c r="R52" s="35"/>
    </row>
    <row r="53" spans="1:18" s="28" customFormat="1" ht="18" x14ac:dyDescent="0.25">
      <c r="B53" s="27"/>
      <c r="C53" s="36"/>
      <c r="D53" s="36"/>
      <c r="E53" s="37"/>
      <c r="F53" s="35"/>
      <c r="J53" s="33"/>
      <c r="K53" s="34"/>
      <c r="L53" s="35"/>
      <c r="P53" s="33"/>
      <c r="Q53" s="34"/>
      <c r="R53" s="35"/>
    </row>
    <row r="54" spans="1:18" s="28" customFormat="1" ht="18" x14ac:dyDescent="0.25">
      <c r="B54" s="27"/>
      <c r="C54" s="36"/>
      <c r="D54" s="36"/>
      <c r="E54" s="37"/>
      <c r="F54" s="35"/>
      <c r="J54" s="35"/>
      <c r="K54" s="34"/>
      <c r="L54" s="35"/>
      <c r="P54" s="35"/>
      <c r="Q54" s="34"/>
      <c r="R54" s="35"/>
    </row>
    <row r="55" spans="1:18" s="28" customFormat="1" ht="18" x14ac:dyDescent="0.25">
      <c r="C55" s="33"/>
      <c r="D55" s="33"/>
      <c r="E55" s="34"/>
      <c r="F55" s="35"/>
      <c r="J55" s="35"/>
      <c r="K55" s="34"/>
      <c r="L55" s="35"/>
      <c r="P55" s="35"/>
      <c r="Q55" s="34"/>
      <c r="R55" s="35"/>
    </row>
    <row r="56" spans="1:18" s="28" customFormat="1" ht="18" x14ac:dyDescent="0.25">
      <c r="C56" s="35"/>
      <c r="D56" s="35"/>
      <c r="E56" s="34"/>
      <c r="F56" s="35"/>
      <c r="H56" s="39"/>
      <c r="J56" s="40"/>
      <c r="K56" s="27"/>
      <c r="N56" s="39"/>
      <c r="P56" s="40"/>
      <c r="Q56" s="27"/>
    </row>
    <row r="57" spans="1:18" s="28" customFormat="1" ht="18" x14ac:dyDescent="0.25">
      <c r="C57" s="35"/>
      <c r="D57" s="35"/>
      <c r="E57" s="34"/>
      <c r="F57" s="35"/>
      <c r="J57" s="41"/>
      <c r="K57" s="41"/>
      <c r="P57" s="41"/>
      <c r="Q57" s="41"/>
    </row>
    <row r="58" spans="1:18" s="28" customFormat="1" ht="18" x14ac:dyDescent="0.25">
      <c r="A58" s="39"/>
      <c r="C58" s="40"/>
      <c r="D58" s="40"/>
      <c r="E58" s="27"/>
      <c r="H58" s="38"/>
      <c r="I58" s="27"/>
      <c r="J58" s="27"/>
      <c r="K58" s="27"/>
      <c r="N58" s="38"/>
      <c r="O58" s="27"/>
      <c r="P58" s="27"/>
      <c r="Q58" s="27"/>
    </row>
    <row r="59" spans="1:18" s="28" customFormat="1" ht="18" x14ac:dyDescent="0.25">
      <c r="C59" s="41"/>
      <c r="D59" s="41"/>
      <c r="E59" s="41"/>
      <c r="I59" s="27"/>
      <c r="J59" s="27"/>
      <c r="K59" s="27"/>
      <c r="O59" s="27"/>
      <c r="P59" s="27"/>
      <c r="Q59" s="27"/>
    </row>
    <row r="60" spans="1:18" s="28" customFormat="1" ht="18" x14ac:dyDescent="0.25">
      <c r="A60" s="38"/>
      <c r="B60" s="27"/>
      <c r="C60" s="27"/>
      <c r="D60" s="27"/>
      <c r="E60" s="27"/>
      <c r="I60" s="27"/>
      <c r="J60" s="27"/>
      <c r="K60" s="27"/>
      <c r="O60" s="27"/>
      <c r="P60" s="27"/>
      <c r="Q60" s="27"/>
    </row>
    <row r="61" spans="1:18" s="28" customFormat="1" ht="18" x14ac:dyDescent="0.25">
      <c r="B61" s="27"/>
      <c r="C61" s="27"/>
      <c r="D61" s="27"/>
      <c r="E61" s="27"/>
      <c r="H61" s="38"/>
      <c r="I61" s="27"/>
      <c r="J61" s="27"/>
      <c r="K61" s="27"/>
      <c r="N61" s="38"/>
      <c r="O61" s="27"/>
      <c r="P61" s="27"/>
      <c r="Q61" s="27"/>
    </row>
    <row r="62" spans="1:18" s="28" customFormat="1" ht="18" x14ac:dyDescent="0.25">
      <c r="B62" s="27"/>
      <c r="C62" s="27"/>
      <c r="D62" s="27"/>
      <c r="E62" s="27"/>
      <c r="H62" s="38"/>
      <c r="I62" s="27"/>
      <c r="J62" s="27"/>
      <c r="K62" s="27"/>
      <c r="N62" s="38"/>
      <c r="O62" s="27"/>
      <c r="P62" s="27"/>
      <c r="Q62" s="27"/>
    </row>
    <row r="63" spans="1:18" s="28" customFormat="1" ht="18" x14ac:dyDescent="0.25">
      <c r="A63" s="38"/>
      <c r="B63" s="27"/>
      <c r="C63" s="27"/>
      <c r="D63" s="27"/>
      <c r="E63" s="27"/>
      <c r="H63" s="38"/>
      <c r="I63" s="27"/>
      <c r="J63" s="27"/>
      <c r="K63" s="27"/>
      <c r="N63" s="38"/>
      <c r="O63" s="27"/>
      <c r="P63" s="27"/>
      <c r="Q63" s="27"/>
    </row>
    <row r="64" spans="1:18" s="28" customFormat="1" ht="18" x14ac:dyDescent="0.25">
      <c r="A64" s="38"/>
      <c r="B64" s="27"/>
      <c r="C64" s="27"/>
      <c r="D64" s="27"/>
      <c r="E64" s="27"/>
      <c r="H64" s="38"/>
      <c r="I64" s="27"/>
      <c r="J64" s="27"/>
      <c r="K64" s="27"/>
      <c r="N64" s="38"/>
      <c r="O64" s="27"/>
      <c r="P64" s="27"/>
      <c r="Q64" s="27"/>
    </row>
    <row r="65" spans="1:6" s="28" customFormat="1" ht="18" x14ac:dyDescent="0.25">
      <c r="A65" s="38"/>
      <c r="B65" s="27"/>
      <c r="C65" s="27"/>
      <c r="D65" s="27"/>
      <c r="E65" s="27"/>
    </row>
    <row r="66" spans="1:6" ht="18" x14ac:dyDescent="0.25">
      <c r="A66" s="38"/>
      <c r="B66" s="27"/>
      <c r="C66" s="27"/>
      <c r="D66" s="27"/>
      <c r="E66" s="27"/>
      <c r="F66" s="28"/>
    </row>
    <row r="67" spans="1:6" x14ac:dyDescent="0.25">
      <c r="A67" s="28"/>
      <c r="B67" s="28"/>
      <c r="C67" s="28"/>
      <c r="D67" s="28"/>
      <c r="E67" s="28"/>
      <c r="F67" s="28"/>
    </row>
  </sheetData>
  <mergeCells count="9">
    <mergeCell ref="N5:O5"/>
    <mergeCell ref="N6:N7"/>
    <mergeCell ref="N39:O39"/>
    <mergeCell ref="A41:B41"/>
    <mergeCell ref="A5:B5"/>
    <mergeCell ref="H5:I5"/>
    <mergeCell ref="A6:A7"/>
    <mergeCell ref="H6:H7"/>
    <mergeCell ref="H39:I39"/>
  </mergeCells>
  <pageMargins left="0.7" right="0.7" top="0.75" bottom="0.75" header="0.3" footer="0.3"/>
  <pageSetup paperSize="9" scale="83" orientation="portrait" r:id="rId1"/>
  <colBreaks count="1" manualBreakCount="1">
    <brk id="6" max="1048575" man="1"/>
  </colBreaks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topLeftCell="A15" zoomScaleNormal="100" workbookViewId="0">
      <selection activeCell="D42" sqref="D42"/>
    </sheetView>
  </sheetViews>
  <sheetFormatPr defaultRowHeight="15" x14ac:dyDescent="0.25"/>
  <cols>
    <col min="1" max="1" width="27.5703125" customWidth="1"/>
    <col min="2" max="2" width="11.42578125" customWidth="1"/>
    <col min="3" max="3" width="13.140625" customWidth="1"/>
    <col min="4" max="4" width="14.42578125" customWidth="1"/>
    <col min="5" max="5" width="15" customWidth="1"/>
    <col min="6" max="6" width="16" customWidth="1"/>
    <col min="7" max="7" width="7.7109375" customWidth="1"/>
    <col min="8" max="8" width="28.85546875" customWidth="1"/>
    <col min="9" max="9" width="11.42578125" customWidth="1"/>
    <col min="10" max="10" width="14.28515625" customWidth="1"/>
    <col min="11" max="11" width="15" customWidth="1"/>
    <col min="12" max="12" width="14.5703125" customWidth="1"/>
    <col min="14" max="14" width="28.85546875" customWidth="1"/>
    <col min="15" max="15" width="11.42578125" customWidth="1"/>
    <col min="16" max="16" width="16.28515625" customWidth="1"/>
    <col min="17" max="17" width="15" customWidth="1"/>
    <col min="18" max="18" width="14.5703125" customWidth="1"/>
  </cols>
  <sheetData>
    <row r="1" spans="1:18" ht="18.75" x14ac:dyDescent="0.3">
      <c r="B1" s="1" t="s">
        <v>61</v>
      </c>
      <c r="C1" s="1"/>
      <c r="D1" s="1"/>
      <c r="E1" s="1"/>
      <c r="I1" s="1" t="s">
        <v>55</v>
      </c>
      <c r="K1" s="1"/>
      <c r="O1" s="1" t="s">
        <v>119</v>
      </c>
      <c r="Q1" s="1"/>
    </row>
    <row r="2" spans="1:18" ht="18.75" x14ac:dyDescent="0.3">
      <c r="B2" s="1" t="s">
        <v>52</v>
      </c>
      <c r="C2" s="1"/>
      <c r="D2" s="1"/>
      <c r="E2" s="1"/>
      <c r="I2" s="1" t="s">
        <v>52</v>
      </c>
      <c r="K2" s="1"/>
      <c r="O2" s="1" t="s">
        <v>52</v>
      </c>
      <c r="Q2" s="1"/>
    </row>
    <row r="3" spans="1:18" ht="18.75" x14ac:dyDescent="0.3">
      <c r="B3" s="1"/>
      <c r="C3" s="1"/>
      <c r="D3" s="1"/>
      <c r="E3" s="1"/>
      <c r="I3" s="1"/>
      <c r="J3" s="1"/>
      <c r="K3" s="1"/>
      <c r="O3" s="1"/>
      <c r="P3" s="1"/>
      <c r="Q3" s="1"/>
    </row>
    <row r="4" spans="1:18" ht="19.5" thickBot="1" x14ac:dyDescent="0.35">
      <c r="F4" s="1"/>
      <c r="L4" s="1"/>
      <c r="R4" s="1"/>
    </row>
    <row r="5" spans="1:18" ht="63.75" thickBot="1" x14ac:dyDescent="0.4">
      <c r="A5" s="88" t="s">
        <v>62</v>
      </c>
      <c r="B5" s="89"/>
      <c r="C5" s="8" t="s">
        <v>58</v>
      </c>
      <c r="D5" s="8" t="s">
        <v>60</v>
      </c>
      <c r="E5" s="58" t="s">
        <v>128</v>
      </c>
      <c r="F5" s="10" t="s">
        <v>39</v>
      </c>
      <c r="H5" s="88" t="s">
        <v>43</v>
      </c>
      <c r="I5" s="89"/>
      <c r="J5" s="8" t="s">
        <v>117</v>
      </c>
      <c r="K5" s="58" t="s">
        <v>128</v>
      </c>
      <c r="L5" s="10" t="s">
        <v>39</v>
      </c>
      <c r="N5" s="88" t="s">
        <v>43</v>
      </c>
      <c r="O5" s="89"/>
      <c r="P5" s="8" t="s">
        <v>117</v>
      </c>
      <c r="Q5" s="58" t="s">
        <v>128</v>
      </c>
      <c r="R5" s="10" t="s">
        <v>39</v>
      </c>
    </row>
    <row r="6" spans="1:18" ht="18.75" x14ac:dyDescent="0.3">
      <c r="A6" s="90" t="s">
        <v>0</v>
      </c>
      <c r="B6" s="11" t="s">
        <v>1</v>
      </c>
      <c r="C6" s="22">
        <v>590000</v>
      </c>
      <c r="D6" s="22">
        <f>C6</f>
        <v>590000</v>
      </c>
      <c r="E6" s="18">
        <f>39656.85+40295.33+44324.47+50538.33+56592.72+46702.05+43881.77</f>
        <v>321991.52</v>
      </c>
      <c r="F6" s="14">
        <f>D6-E6</f>
        <v>268008.48</v>
      </c>
      <c r="H6" s="90" t="s">
        <v>0</v>
      </c>
      <c r="I6" s="11" t="s">
        <v>1</v>
      </c>
      <c r="J6" s="22"/>
      <c r="K6" s="18">
        <f>8838.8+1261.5</f>
        <v>10100.299999999999</v>
      </c>
      <c r="L6" s="14">
        <f>J6-K6</f>
        <v>-10100.299999999999</v>
      </c>
      <c r="N6" s="90" t="s">
        <v>0</v>
      </c>
      <c r="O6" s="11" t="s">
        <v>1</v>
      </c>
      <c r="P6" s="22"/>
      <c r="Q6" s="18"/>
      <c r="R6" s="14">
        <f>P6-Q6</f>
        <v>0</v>
      </c>
    </row>
    <row r="7" spans="1:18" ht="18.75" x14ac:dyDescent="0.3">
      <c r="A7" s="91"/>
      <c r="B7" s="3" t="s">
        <v>2</v>
      </c>
      <c r="C7" s="23">
        <f>SUM(C8:C11)</f>
        <v>28000</v>
      </c>
      <c r="D7" s="22">
        <f t="shared" ref="D7:D34" si="0">C7</f>
        <v>28000</v>
      </c>
      <c r="E7" s="17">
        <f>SUM(E8:E11)</f>
        <v>10406.51</v>
      </c>
      <c r="F7" s="15">
        <f t="shared" ref="F7:F35" si="1">D7-E7</f>
        <v>17593.489999999998</v>
      </c>
      <c r="H7" s="91"/>
      <c r="I7" s="3" t="s">
        <v>2</v>
      </c>
      <c r="J7" s="23"/>
      <c r="K7" s="17"/>
      <c r="L7" s="15">
        <f t="shared" ref="L7:L11" si="2">J7-K7</f>
        <v>0</v>
      </c>
      <c r="N7" s="91"/>
      <c r="O7" s="3" t="s">
        <v>2</v>
      </c>
      <c r="P7" s="23"/>
      <c r="Q7" s="17"/>
      <c r="R7" s="15">
        <f t="shared" ref="R7:R11" si="3">P7-Q7</f>
        <v>0</v>
      </c>
    </row>
    <row r="8" spans="1:18" ht="18.75" x14ac:dyDescent="0.3">
      <c r="A8" s="7" t="s">
        <v>3</v>
      </c>
      <c r="B8" s="4" t="s">
        <v>4</v>
      </c>
      <c r="C8" s="24">
        <v>5000</v>
      </c>
      <c r="D8" s="22">
        <f t="shared" si="0"/>
        <v>5000</v>
      </c>
      <c r="E8" s="19">
        <f>750+925+1075+1000+500</f>
        <v>4250</v>
      </c>
      <c r="F8" s="16">
        <f t="shared" si="1"/>
        <v>750</v>
      </c>
      <c r="H8" s="7" t="s">
        <v>3</v>
      </c>
      <c r="I8" s="4" t="s">
        <v>4</v>
      </c>
      <c r="J8" s="24"/>
      <c r="K8" s="19"/>
      <c r="L8" s="16">
        <f t="shared" si="2"/>
        <v>0</v>
      </c>
      <c r="N8" s="7" t="s">
        <v>3</v>
      </c>
      <c r="O8" s="4" t="s">
        <v>4</v>
      </c>
      <c r="P8" s="24"/>
      <c r="Q8" s="19"/>
      <c r="R8" s="16">
        <f t="shared" si="3"/>
        <v>0</v>
      </c>
    </row>
    <row r="9" spans="1:18" ht="18.75" x14ac:dyDescent="0.3">
      <c r="A9" s="7" t="s">
        <v>5</v>
      </c>
      <c r="B9" s="4" t="s">
        <v>6</v>
      </c>
      <c r="C9" s="24">
        <v>20000</v>
      </c>
      <c r="D9" s="22">
        <f t="shared" si="0"/>
        <v>20000</v>
      </c>
      <c r="E9" s="19">
        <f>750.22+723.76+723.76+723.76+723.76+763.15+823.15</f>
        <v>5231.5599999999995</v>
      </c>
      <c r="F9" s="16">
        <f t="shared" si="1"/>
        <v>14768.44</v>
      </c>
      <c r="H9" s="7" t="s">
        <v>5</v>
      </c>
      <c r="I9" s="4" t="s">
        <v>6</v>
      </c>
      <c r="J9" s="24"/>
      <c r="K9" s="19"/>
      <c r="L9" s="16">
        <f t="shared" si="2"/>
        <v>0</v>
      </c>
      <c r="N9" s="7" t="s">
        <v>5</v>
      </c>
      <c r="O9" s="4" t="s">
        <v>6</v>
      </c>
      <c r="P9" s="24"/>
      <c r="Q9" s="19"/>
      <c r="R9" s="16">
        <f t="shared" si="3"/>
        <v>0</v>
      </c>
    </row>
    <row r="10" spans="1:18" ht="18.75" x14ac:dyDescent="0.3">
      <c r="A10" s="7" t="s">
        <v>7</v>
      </c>
      <c r="B10" s="4" t="s">
        <v>8</v>
      </c>
      <c r="C10" s="21"/>
      <c r="D10" s="22">
        <f t="shared" si="0"/>
        <v>0</v>
      </c>
      <c r="E10" s="19"/>
      <c r="F10" s="16">
        <f t="shared" si="1"/>
        <v>0</v>
      </c>
      <c r="H10" s="7" t="s">
        <v>7</v>
      </c>
      <c r="I10" s="4" t="s">
        <v>8</v>
      </c>
      <c r="J10" s="21"/>
      <c r="K10" s="19"/>
      <c r="L10" s="16">
        <f t="shared" si="2"/>
        <v>0</v>
      </c>
      <c r="N10" s="7" t="s">
        <v>7</v>
      </c>
      <c r="O10" s="4" t="s">
        <v>8</v>
      </c>
      <c r="P10" s="21"/>
      <c r="Q10" s="19"/>
      <c r="R10" s="16">
        <f t="shared" si="3"/>
        <v>0</v>
      </c>
    </row>
    <row r="11" spans="1:18" ht="18.75" x14ac:dyDescent="0.3">
      <c r="A11" s="7" t="s">
        <v>9</v>
      </c>
      <c r="B11" s="4" t="s">
        <v>10</v>
      </c>
      <c r="C11" s="24">
        <v>3000</v>
      </c>
      <c r="D11" s="22">
        <f t="shared" si="0"/>
        <v>3000</v>
      </c>
      <c r="E11" s="19">
        <f>317.08+153.39+267.14+187.34</f>
        <v>924.94999999999993</v>
      </c>
      <c r="F11" s="16">
        <f t="shared" si="1"/>
        <v>2075.0500000000002</v>
      </c>
      <c r="H11" s="7" t="s">
        <v>9</v>
      </c>
      <c r="I11" s="4" t="s">
        <v>10</v>
      </c>
      <c r="J11" s="24"/>
      <c r="K11" s="19"/>
      <c r="L11" s="16">
        <f t="shared" si="2"/>
        <v>0</v>
      </c>
      <c r="N11" s="7" t="s">
        <v>9</v>
      </c>
      <c r="O11" s="4" t="s">
        <v>10</v>
      </c>
      <c r="P11" s="24"/>
      <c r="Q11" s="19"/>
      <c r="R11" s="16">
        <f t="shared" si="3"/>
        <v>0</v>
      </c>
    </row>
    <row r="12" spans="1:18" ht="18.75" x14ac:dyDescent="0.3">
      <c r="A12" s="7"/>
      <c r="B12" s="4"/>
      <c r="C12" s="24"/>
      <c r="D12" s="22">
        <f t="shared" si="0"/>
        <v>0</v>
      </c>
      <c r="E12" s="19"/>
      <c r="F12" s="16"/>
      <c r="H12" s="7"/>
      <c r="I12" s="4"/>
      <c r="J12" s="24"/>
      <c r="K12" s="19"/>
      <c r="L12" s="16"/>
      <c r="N12" s="7"/>
      <c r="O12" s="4"/>
      <c r="P12" s="24"/>
      <c r="Q12" s="19"/>
      <c r="R12" s="16"/>
    </row>
    <row r="13" spans="1:18" ht="18.75" x14ac:dyDescent="0.3">
      <c r="A13" s="7" t="s">
        <v>11</v>
      </c>
      <c r="B13" s="3" t="s">
        <v>12</v>
      </c>
      <c r="C13" s="23">
        <f>SUM(C14:C17)</f>
        <v>144117.59999999998</v>
      </c>
      <c r="D13" s="22">
        <f t="shared" si="0"/>
        <v>144117.59999999998</v>
      </c>
      <c r="E13" s="23">
        <f>SUM(E14:E17)</f>
        <v>73514.98000000001</v>
      </c>
      <c r="F13" s="15">
        <f>D13-E13</f>
        <v>70602.619999999966</v>
      </c>
      <c r="H13" s="7" t="s">
        <v>11</v>
      </c>
      <c r="I13" s="3" t="s">
        <v>12</v>
      </c>
      <c r="J13" s="23"/>
      <c r="K13" s="23">
        <f>K14+K15+K16+K17</f>
        <v>2338.6999999999998</v>
      </c>
      <c r="L13" s="15">
        <f>J13-K13</f>
        <v>-2338.6999999999998</v>
      </c>
      <c r="N13" s="7" t="s">
        <v>11</v>
      </c>
      <c r="O13" s="3" t="s">
        <v>12</v>
      </c>
      <c r="P13" s="23"/>
      <c r="Q13" s="23"/>
      <c r="R13" s="15">
        <f>P13-Q13</f>
        <v>0</v>
      </c>
    </row>
    <row r="14" spans="1:18" ht="18.75" x14ac:dyDescent="0.3">
      <c r="A14" s="7" t="s">
        <v>13</v>
      </c>
      <c r="B14" s="4" t="s">
        <v>14</v>
      </c>
      <c r="C14" s="24">
        <f>(C6+C7)*11.42%</f>
        <v>70575.599999999991</v>
      </c>
      <c r="D14" s="22">
        <f t="shared" si="0"/>
        <v>70575.599999999991</v>
      </c>
      <c r="E14" s="19">
        <f>4773.81+4821.94+5289.16+6088.51+6339.55+5158.35+5203.75</f>
        <v>37675.07</v>
      </c>
      <c r="F14" s="16">
        <f>D14-E14</f>
        <v>32900.529999999992</v>
      </c>
      <c r="H14" s="7" t="s">
        <v>13</v>
      </c>
      <c r="I14" s="4" t="s">
        <v>14</v>
      </c>
      <c r="J14" s="24"/>
      <c r="K14" s="19">
        <f>1009.4+144.07</f>
        <v>1153.47</v>
      </c>
      <c r="L14" s="16">
        <f>J14-K14</f>
        <v>-1153.47</v>
      </c>
      <c r="N14" s="7" t="s">
        <v>13</v>
      </c>
      <c r="O14" s="4" t="s">
        <v>14</v>
      </c>
      <c r="P14" s="24"/>
      <c r="Q14" s="19"/>
      <c r="R14" s="16">
        <f>P14-Q14</f>
        <v>0</v>
      </c>
    </row>
    <row r="15" spans="1:18" ht="18.75" x14ac:dyDescent="0.3">
      <c r="A15" s="7" t="s">
        <v>15</v>
      </c>
      <c r="B15" s="4" t="s">
        <v>16</v>
      </c>
      <c r="C15" s="24">
        <f>(C6+C7)*4.3%</f>
        <v>26573.999999999996</v>
      </c>
      <c r="D15" s="22">
        <f t="shared" si="0"/>
        <v>26573.999999999996</v>
      </c>
      <c r="E15" s="19">
        <f>1561.59+1620.97+1768.38+1992.04+2105.28+1753.34+1759.8</f>
        <v>12561.4</v>
      </c>
      <c r="F15" s="16">
        <f>D15-E15</f>
        <v>14012.599999999997</v>
      </c>
      <c r="H15" s="7" t="s">
        <v>15</v>
      </c>
      <c r="I15" s="4" t="s">
        <v>16</v>
      </c>
      <c r="J15" s="24"/>
      <c r="K15" s="19">
        <f>380.04+35.32</f>
        <v>415.36</v>
      </c>
      <c r="L15" s="16">
        <f>J15-K15</f>
        <v>-415.36</v>
      </c>
      <c r="N15" s="7" t="s">
        <v>15</v>
      </c>
      <c r="O15" s="4" t="s">
        <v>16</v>
      </c>
      <c r="P15" s="24"/>
      <c r="Q15" s="19"/>
      <c r="R15" s="16">
        <f>P15-Q15</f>
        <v>0</v>
      </c>
    </row>
    <row r="16" spans="1:18" ht="18.75" x14ac:dyDescent="0.3">
      <c r="A16" s="7" t="s">
        <v>17</v>
      </c>
      <c r="B16" s="4" t="s">
        <v>18</v>
      </c>
      <c r="C16" s="24">
        <f>(C6+C7)*4.8%</f>
        <v>29664</v>
      </c>
      <c r="D16" s="22">
        <f t="shared" si="0"/>
        <v>29664</v>
      </c>
      <c r="E16" s="19">
        <f>2022.39+2016.88+2200.55+2549.61+2667.8+2131.66+2140.16</f>
        <v>15729.05</v>
      </c>
      <c r="F16" s="16">
        <f t="shared" ref="F16:F17" si="4">D16-E16</f>
        <v>13934.95</v>
      </c>
      <c r="H16" s="7" t="s">
        <v>17</v>
      </c>
      <c r="I16" s="4" t="s">
        <v>18</v>
      </c>
      <c r="J16" s="24"/>
      <c r="K16" s="19">
        <f>424.26+60.55</f>
        <v>484.81</v>
      </c>
      <c r="L16" s="16">
        <f t="shared" ref="L16:L17" si="5">J16-K16</f>
        <v>-484.81</v>
      </c>
      <c r="N16" s="7" t="s">
        <v>17</v>
      </c>
      <c r="O16" s="4" t="s">
        <v>18</v>
      </c>
      <c r="P16" s="24"/>
      <c r="Q16" s="19"/>
      <c r="R16" s="16">
        <f t="shared" ref="R16:R17" si="6">P16-Q16</f>
        <v>0</v>
      </c>
    </row>
    <row r="17" spans="1:18" ht="18.75" x14ac:dyDescent="0.3">
      <c r="A17" s="7" t="s">
        <v>19</v>
      </c>
      <c r="B17" s="4" t="s">
        <v>20</v>
      </c>
      <c r="C17" s="24">
        <f>(C6+C7)*2.8%</f>
        <v>17304</v>
      </c>
      <c r="D17" s="22">
        <f t="shared" si="0"/>
        <v>17304</v>
      </c>
      <c r="E17" s="19">
        <f>958.22+974.01+1064.15+1235.05+1273.58+1003.49+1040.96</f>
        <v>7549.46</v>
      </c>
      <c r="F17" s="16">
        <f t="shared" si="4"/>
        <v>9754.5400000000009</v>
      </c>
      <c r="H17" s="7" t="s">
        <v>19</v>
      </c>
      <c r="I17" s="4" t="s">
        <v>20</v>
      </c>
      <c r="J17" s="24"/>
      <c r="K17" s="19">
        <f>247.5+37.56</f>
        <v>285.06</v>
      </c>
      <c r="L17" s="16">
        <f t="shared" si="5"/>
        <v>-285.06</v>
      </c>
      <c r="N17" s="7" t="s">
        <v>19</v>
      </c>
      <c r="O17" s="4" t="s">
        <v>20</v>
      </c>
      <c r="P17" s="24"/>
      <c r="Q17" s="19"/>
      <c r="R17" s="16">
        <f t="shared" si="6"/>
        <v>0</v>
      </c>
    </row>
    <row r="18" spans="1:18" ht="18.75" x14ac:dyDescent="0.3">
      <c r="A18" s="47"/>
      <c r="B18" s="4"/>
      <c r="C18" s="24"/>
      <c r="D18" s="22">
        <f t="shared" si="0"/>
        <v>0</v>
      </c>
      <c r="E18" s="19"/>
      <c r="F18" s="16"/>
      <c r="H18" s="47"/>
      <c r="I18" s="4"/>
      <c r="J18" s="24"/>
      <c r="K18" s="19"/>
      <c r="L18" s="16"/>
      <c r="N18" s="47"/>
      <c r="O18" s="4"/>
      <c r="P18" s="24"/>
      <c r="Q18" s="19"/>
      <c r="R18" s="16"/>
    </row>
    <row r="19" spans="1:18" ht="18.75" x14ac:dyDescent="0.3">
      <c r="A19" s="48" t="s">
        <v>40</v>
      </c>
      <c r="B19" s="4" t="s">
        <v>29</v>
      </c>
      <c r="C19" s="24">
        <f>SUM(C20:C29)</f>
        <v>104638</v>
      </c>
      <c r="D19" s="22">
        <f>D20+D21+D22+D23+D24+D25+D26+D27+D28+D29</f>
        <v>115491.59</v>
      </c>
      <c r="E19" s="17">
        <f>SUM(E20:E29)</f>
        <v>65957.51999999999</v>
      </c>
      <c r="F19" s="15">
        <f t="shared" si="1"/>
        <v>49534.070000000007</v>
      </c>
      <c r="H19" s="48" t="s">
        <v>40</v>
      </c>
      <c r="I19" s="4" t="s">
        <v>29</v>
      </c>
      <c r="J19" s="24"/>
      <c r="K19" s="17">
        <f>K20+K21+K22+K23+K24+K25+K26+K27+K28+K29</f>
        <v>1959.9999999999998</v>
      </c>
      <c r="L19" s="15">
        <f>J19-K19</f>
        <v>-1959.9999999999998</v>
      </c>
      <c r="N19" s="48" t="s">
        <v>40</v>
      </c>
      <c r="O19" s="4" t="s">
        <v>29</v>
      </c>
      <c r="P19" s="24"/>
      <c r="Q19" s="17"/>
      <c r="R19" s="15">
        <f>P19-Q19</f>
        <v>0</v>
      </c>
    </row>
    <row r="20" spans="1:18" ht="18.75" x14ac:dyDescent="0.3">
      <c r="A20" s="43" t="s">
        <v>21</v>
      </c>
      <c r="B20" s="44" t="s">
        <v>22</v>
      </c>
      <c r="C20" s="45">
        <v>35000</v>
      </c>
      <c r="D20" s="22">
        <f t="shared" si="0"/>
        <v>35000</v>
      </c>
      <c r="E20" s="49">
        <f>3246+3872+3105.5+3168+2812.5+2052.5</f>
        <v>18256.5</v>
      </c>
      <c r="F20" s="16">
        <f t="shared" si="1"/>
        <v>16743.5</v>
      </c>
      <c r="H20" s="43" t="s">
        <v>21</v>
      </c>
      <c r="I20" s="44" t="s">
        <v>22</v>
      </c>
      <c r="J20" s="45"/>
      <c r="K20" s="49"/>
      <c r="L20" s="16">
        <f t="shared" ref="L20" si="7">J20-K20</f>
        <v>0</v>
      </c>
      <c r="N20" s="43" t="s">
        <v>21</v>
      </c>
      <c r="O20" s="44" t="s">
        <v>22</v>
      </c>
      <c r="P20" s="45"/>
      <c r="Q20" s="49"/>
      <c r="R20" s="16">
        <f t="shared" ref="R20" si="8">P20-Q20</f>
        <v>0</v>
      </c>
    </row>
    <row r="21" spans="1:18" ht="18.75" x14ac:dyDescent="0.3">
      <c r="A21" s="43" t="s">
        <v>41</v>
      </c>
      <c r="B21" s="44" t="s">
        <v>30</v>
      </c>
      <c r="C21" s="45"/>
      <c r="D21" s="22">
        <f t="shared" si="0"/>
        <v>0</v>
      </c>
      <c r="E21" s="46"/>
      <c r="F21" s="15"/>
      <c r="H21" s="43" t="s">
        <v>41</v>
      </c>
      <c r="I21" s="44" t="s">
        <v>30</v>
      </c>
      <c r="J21" s="45"/>
      <c r="K21" s="46"/>
      <c r="L21" s="15"/>
      <c r="N21" s="43" t="s">
        <v>41</v>
      </c>
      <c r="O21" s="44" t="s">
        <v>30</v>
      </c>
      <c r="P21" s="45"/>
      <c r="Q21" s="46"/>
      <c r="R21" s="15"/>
    </row>
    <row r="22" spans="1:18" ht="18.75" x14ac:dyDescent="0.3">
      <c r="A22" s="43" t="s">
        <v>42</v>
      </c>
      <c r="B22" s="44" t="s">
        <v>31</v>
      </c>
      <c r="C22" s="45">
        <v>1000</v>
      </c>
      <c r="D22" s="22">
        <f t="shared" si="0"/>
        <v>1000</v>
      </c>
      <c r="E22" s="49"/>
      <c r="F22" s="16">
        <f t="shared" si="1"/>
        <v>1000</v>
      </c>
      <c r="H22" s="43" t="s">
        <v>42</v>
      </c>
      <c r="I22" s="44" t="s">
        <v>31</v>
      </c>
      <c r="J22" s="45"/>
      <c r="K22" s="49"/>
      <c r="L22" s="16">
        <f t="shared" ref="L22:L23" si="9">J22-K22</f>
        <v>0</v>
      </c>
      <c r="N22" s="43" t="s">
        <v>42</v>
      </c>
      <c r="O22" s="44" t="s">
        <v>31</v>
      </c>
      <c r="P22" s="45"/>
      <c r="Q22" s="49"/>
      <c r="R22" s="16">
        <f t="shared" ref="R22:R23" si="10">P22-Q22</f>
        <v>0</v>
      </c>
    </row>
    <row r="23" spans="1:18" ht="18.75" x14ac:dyDescent="0.3">
      <c r="A23" s="7" t="s">
        <v>23</v>
      </c>
      <c r="B23" s="12" t="s">
        <v>24</v>
      </c>
      <c r="C23" s="21"/>
      <c r="D23" s="22">
        <f>C23+7331.03</f>
        <v>7331.03</v>
      </c>
      <c r="E23" s="19">
        <f>7811.9</f>
        <v>7811.9</v>
      </c>
      <c r="F23" s="16">
        <f t="shared" si="1"/>
        <v>-480.86999999999989</v>
      </c>
      <c r="H23" s="7" t="s">
        <v>23</v>
      </c>
      <c r="I23" s="12" t="s">
        <v>24</v>
      </c>
      <c r="J23" s="21"/>
      <c r="K23" s="19"/>
      <c r="L23" s="16">
        <f t="shared" si="9"/>
        <v>0</v>
      </c>
      <c r="N23" s="7" t="s">
        <v>23</v>
      </c>
      <c r="O23" s="12" t="s">
        <v>24</v>
      </c>
      <c r="P23" s="21"/>
      <c r="Q23" s="19"/>
      <c r="R23" s="16">
        <f t="shared" si="10"/>
        <v>0</v>
      </c>
    </row>
    <row r="24" spans="1:18" ht="18.75" x14ac:dyDescent="0.3">
      <c r="A24" s="7" t="s">
        <v>32</v>
      </c>
      <c r="B24" s="12" t="s">
        <v>33</v>
      </c>
      <c r="C24" s="24">
        <v>10000</v>
      </c>
      <c r="D24" s="22">
        <f t="shared" si="0"/>
        <v>10000</v>
      </c>
      <c r="E24" s="19">
        <f>410.08+3595.84+620.4+2669.94+98.8+1936.31+1220.9+1760</f>
        <v>12312.27</v>
      </c>
      <c r="F24" s="16">
        <f>D24-E24</f>
        <v>-2312.2700000000004</v>
      </c>
      <c r="H24" s="7" t="s">
        <v>32</v>
      </c>
      <c r="I24" s="12" t="s">
        <v>33</v>
      </c>
      <c r="J24" s="24"/>
      <c r="K24" s="19">
        <f>178+232.08+1095.12</f>
        <v>1505.1999999999998</v>
      </c>
      <c r="L24" s="16">
        <f>J24-K24</f>
        <v>-1505.1999999999998</v>
      </c>
      <c r="N24" s="7" t="s">
        <v>32</v>
      </c>
      <c r="O24" s="12" t="s">
        <v>33</v>
      </c>
      <c r="P24" s="24">
        <f>18794.99+57835.48</f>
        <v>76630.47</v>
      </c>
      <c r="Q24" s="19">
        <f>14821.8+14095.95+9397.5+22065.17+2088.57</f>
        <v>62468.99</v>
      </c>
      <c r="R24" s="16">
        <f>P24-Q24</f>
        <v>14161.480000000003</v>
      </c>
    </row>
    <row r="25" spans="1:18" ht="18.75" x14ac:dyDescent="0.3">
      <c r="A25" s="7" t="s">
        <v>34</v>
      </c>
      <c r="B25" s="4" t="s">
        <v>35</v>
      </c>
      <c r="C25" s="24">
        <v>16638</v>
      </c>
      <c r="D25" s="22">
        <f t="shared" si="0"/>
        <v>16638</v>
      </c>
      <c r="E25" s="19">
        <f>233.79+240.68+242.51+345.23+229.06+202.49+187.93+11044.84</f>
        <v>12726.53</v>
      </c>
      <c r="F25" s="16">
        <f>D25-E25</f>
        <v>3911.4699999999993</v>
      </c>
      <c r="H25" s="7" t="s">
        <v>34</v>
      </c>
      <c r="I25" s="4" t="s">
        <v>35</v>
      </c>
      <c r="J25" s="24"/>
      <c r="K25" s="19"/>
      <c r="L25" s="16">
        <f>J25-K25</f>
        <v>0</v>
      </c>
      <c r="N25" s="7" t="s">
        <v>34</v>
      </c>
      <c r="O25" s="4" t="s">
        <v>35</v>
      </c>
      <c r="P25" s="24"/>
      <c r="Q25" s="19"/>
      <c r="R25" s="16">
        <f>P25-Q25</f>
        <v>0</v>
      </c>
    </row>
    <row r="26" spans="1:18" ht="18.75" x14ac:dyDescent="0.3">
      <c r="A26" s="42" t="s">
        <v>44</v>
      </c>
      <c r="B26" s="12" t="s">
        <v>25</v>
      </c>
      <c r="C26" s="24">
        <v>30000</v>
      </c>
      <c r="D26" s="22">
        <f>C26+3522.56</f>
        <v>33522.559999999998</v>
      </c>
      <c r="E26" s="19">
        <f>584.22+2186.87+656.74+1297.43+5163.95+2776.24+1093.98+320.89</f>
        <v>14080.319999999998</v>
      </c>
      <c r="F26" s="15">
        <f t="shared" si="1"/>
        <v>19442.239999999998</v>
      </c>
      <c r="H26" s="42" t="s">
        <v>44</v>
      </c>
      <c r="I26" s="12" t="s">
        <v>25</v>
      </c>
      <c r="J26" s="24"/>
      <c r="K26" s="19">
        <f>454.8</f>
        <v>454.8</v>
      </c>
      <c r="L26" s="15">
        <f t="shared" ref="L26:L28" si="11">J26-K26</f>
        <v>-454.8</v>
      </c>
      <c r="N26" s="42" t="s">
        <v>44</v>
      </c>
      <c r="O26" s="12" t="s">
        <v>25</v>
      </c>
      <c r="P26" s="24"/>
      <c r="Q26" s="19"/>
      <c r="R26" s="15">
        <f t="shared" ref="R26:R33" si="12">P26-Q26</f>
        <v>0</v>
      </c>
    </row>
    <row r="27" spans="1:18" ht="18.75" x14ac:dyDescent="0.3">
      <c r="A27" s="42" t="s">
        <v>36</v>
      </c>
      <c r="B27" s="12" t="s">
        <v>37</v>
      </c>
      <c r="C27" s="24">
        <v>10000</v>
      </c>
      <c r="D27" s="22">
        <f t="shared" si="0"/>
        <v>10000</v>
      </c>
      <c r="E27" s="19"/>
      <c r="F27" s="16">
        <f t="shared" si="1"/>
        <v>10000</v>
      </c>
      <c r="H27" s="42" t="s">
        <v>36</v>
      </c>
      <c r="I27" s="12" t="s">
        <v>37</v>
      </c>
      <c r="J27" s="24"/>
      <c r="K27" s="19"/>
      <c r="L27" s="16">
        <f t="shared" si="11"/>
        <v>0</v>
      </c>
      <c r="N27" s="42" t="s">
        <v>36</v>
      </c>
      <c r="O27" s="12" t="s">
        <v>37</v>
      </c>
      <c r="P27" s="24"/>
      <c r="Q27" s="19"/>
      <c r="R27" s="16">
        <f t="shared" si="12"/>
        <v>0</v>
      </c>
    </row>
    <row r="28" spans="1:18" ht="18.75" x14ac:dyDescent="0.3">
      <c r="A28" s="42" t="s">
        <v>45</v>
      </c>
      <c r="B28" s="12" t="s">
        <v>38</v>
      </c>
      <c r="C28" s="24">
        <v>2000</v>
      </c>
      <c r="D28" s="22">
        <f t="shared" si="0"/>
        <v>2000</v>
      </c>
      <c r="E28" s="19">
        <f>50+50+148+276+246</f>
        <v>770</v>
      </c>
      <c r="F28" s="16">
        <f t="shared" si="1"/>
        <v>1230</v>
      </c>
      <c r="H28" s="42" t="s">
        <v>45</v>
      </c>
      <c r="I28" s="12" t="s">
        <v>38</v>
      </c>
      <c r="J28" s="24"/>
      <c r="K28" s="19"/>
      <c r="L28" s="16">
        <f t="shared" si="11"/>
        <v>0</v>
      </c>
      <c r="N28" s="42" t="s">
        <v>45</v>
      </c>
      <c r="O28" s="12" t="s">
        <v>120</v>
      </c>
      <c r="P28" s="24">
        <v>26420.9</v>
      </c>
      <c r="Q28" s="19">
        <f>13210.45+12733.22</f>
        <v>25943.67</v>
      </c>
      <c r="R28" s="16">
        <f t="shared" si="12"/>
        <v>477.2300000000032</v>
      </c>
    </row>
    <row r="29" spans="1:18" ht="18.75" x14ac:dyDescent="0.3">
      <c r="A29" s="42" t="s">
        <v>46</v>
      </c>
      <c r="B29" s="12" t="s">
        <v>49</v>
      </c>
      <c r="C29" s="24"/>
      <c r="D29" s="22">
        <f t="shared" si="0"/>
        <v>0</v>
      </c>
      <c r="E29" s="19"/>
      <c r="F29" s="16"/>
      <c r="H29" s="42" t="s">
        <v>46</v>
      </c>
      <c r="I29" s="12" t="s">
        <v>49</v>
      </c>
      <c r="J29" s="24"/>
      <c r="K29" s="19"/>
      <c r="L29" s="16"/>
      <c r="N29" s="42" t="s">
        <v>46</v>
      </c>
      <c r="O29" s="12" t="s">
        <v>121</v>
      </c>
      <c r="P29" s="24">
        <v>30620.16</v>
      </c>
      <c r="Q29" s="19">
        <f>15310.08+14593.68</f>
        <v>29903.760000000002</v>
      </c>
      <c r="R29" s="16">
        <f t="shared" si="12"/>
        <v>716.39999999999782</v>
      </c>
    </row>
    <row r="30" spans="1:18" ht="18.75" x14ac:dyDescent="0.3">
      <c r="A30" s="42" t="s">
        <v>47</v>
      </c>
      <c r="B30" s="12" t="s">
        <v>50</v>
      </c>
      <c r="C30" s="24">
        <v>300</v>
      </c>
      <c r="D30" s="22">
        <f t="shared" si="0"/>
        <v>300</v>
      </c>
      <c r="E30" s="19">
        <v>280.86</v>
      </c>
      <c r="F30" s="16">
        <f t="shared" si="1"/>
        <v>19.139999999999986</v>
      </c>
      <c r="H30" s="42" t="s">
        <v>47</v>
      </c>
      <c r="I30" s="12" t="s">
        <v>50</v>
      </c>
      <c r="J30" s="24"/>
      <c r="K30" s="19"/>
      <c r="L30" s="16">
        <f t="shared" ref="L30:L33" si="13">J30-K30</f>
        <v>0</v>
      </c>
      <c r="N30" s="42" t="s">
        <v>47</v>
      </c>
      <c r="O30" s="12" t="s">
        <v>122</v>
      </c>
      <c r="P30" s="24">
        <v>41415.81</v>
      </c>
      <c r="Q30" s="19">
        <f>20707.91</f>
        <v>20707.91</v>
      </c>
      <c r="R30" s="16">
        <f t="shared" si="12"/>
        <v>20707.899999999998</v>
      </c>
    </row>
    <row r="31" spans="1:18" ht="18.75" x14ac:dyDescent="0.3">
      <c r="A31" s="7" t="s">
        <v>48</v>
      </c>
      <c r="B31" s="12" t="s">
        <v>51</v>
      </c>
      <c r="C31" s="24"/>
      <c r="D31" s="22">
        <f t="shared" si="0"/>
        <v>0</v>
      </c>
      <c r="E31" s="19"/>
      <c r="F31" s="16">
        <f t="shared" si="1"/>
        <v>0</v>
      </c>
      <c r="H31" s="7" t="s">
        <v>48</v>
      </c>
      <c r="I31" s="12" t="s">
        <v>51</v>
      </c>
      <c r="J31" s="24"/>
      <c r="K31" s="19"/>
      <c r="L31" s="16">
        <f t="shared" si="13"/>
        <v>0</v>
      </c>
      <c r="N31" s="7" t="s">
        <v>48</v>
      </c>
      <c r="O31" s="12" t="s">
        <v>51</v>
      </c>
      <c r="P31" s="24"/>
      <c r="Q31" s="19"/>
      <c r="R31" s="16">
        <f t="shared" si="12"/>
        <v>0</v>
      </c>
    </row>
    <row r="32" spans="1:18" ht="18.75" x14ac:dyDescent="0.3">
      <c r="A32" s="7" t="s">
        <v>74</v>
      </c>
      <c r="B32" s="12" t="s">
        <v>72</v>
      </c>
      <c r="C32" s="24">
        <v>1200</v>
      </c>
      <c r="D32" s="22">
        <f t="shared" si="0"/>
        <v>1200</v>
      </c>
      <c r="E32" s="74"/>
      <c r="F32" s="7"/>
      <c r="H32" s="13" t="s">
        <v>56</v>
      </c>
      <c r="I32" s="12" t="s">
        <v>57</v>
      </c>
      <c r="J32" s="25">
        <f>7057+6650+4932</f>
        <v>18639</v>
      </c>
      <c r="K32" s="19"/>
      <c r="L32" s="16">
        <f>J32-K34</f>
        <v>4240</v>
      </c>
      <c r="N32" s="13" t="s">
        <v>56</v>
      </c>
      <c r="O32" s="12" t="s">
        <v>57</v>
      </c>
      <c r="P32" s="71">
        <f>88273.22+51909.65</f>
        <v>140182.87</v>
      </c>
      <c r="Q32" s="19"/>
      <c r="R32" s="16">
        <f>P32-Q34</f>
        <v>1158.539999999979</v>
      </c>
    </row>
    <row r="33" spans="1:18" ht="18.75" x14ac:dyDescent="0.3">
      <c r="A33" s="7" t="s">
        <v>75</v>
      </c>
      <c r="B33" s="12" t="s">
        <v>73</v>
      </c>
      <c r="C33" s="24">
        <v>3000</v>
      </c>
      <c r="D33" s="22">
        <f t="shared" si="0"/>
        <v>3000</v>
      </c>
      <c r="E33" s="75">
        <f>2630</f>
        <v>2630</v>
      </c>
      <c r="F33" s="7"/>
      <c r="J33" s="24"/>
      <c r="K33" s="19"/>
      <c r="L33" s="16">
        <f t="shared" si="13"/>
        <v>0</v>
      </c>
      <c r="P33" s="24"/>
      <c r="Q33" s="19"/>
      <c r="R33" s="16">
        <f t="shared" si="12"/>
        <v>0</v>
      </c>
    </row>
    <row r="34" spans="1:18" ht="18.75" x14ac:dyDescent="0.3">
      <c r="A34" s="13" t="s">
        <v>26</v>
      </c>
      <c r="B34" s="12" t="s">
        <v>27</v>
      </c>
      <c r="C34" s="25">
        <v>15985</v>
      </c>
      <c r="D34" s="22">
        <f t="shared" si="0"/>
        <v>15985</v>
      </c>
      <c r="E34" s="19"/>
      <c r="F34" s="16">
        <f t="shared" si="1"/>
        <v>15985</v>
      </c>
      <c r="I34" t="s">
        <v>28</v>
      </c>
      <c r="J34" s="26">
        <f>J32</f>
        <v>18639</v>
      </c>
      <c r="K34" s="55">
        <f>K6+K7+K13+K19+K30+K31</f>
        <v>14399</v>
      </c>
      <c r="L34" s="26">
        <f>J34-K34</f>
        <v>4240</v>
      </c>
      <c r="O34" t="s">
        <v>28</v>
      </c>
      <c r="P34" s="26">
        <f>180758.65</f>
        <v>180758.65</v>
      </c>
      <c r="Q34" s="55">
        <f>Q6+Q24+Q28+Q29+Q307+Q13+Q19+Q30+Q31</f>
        <v>139024.33000000002</v>
      </c>
      <c r="R34" s="26">
        <f>P34-Q34</f>
        <v>41734.319999999978</v>
      </c>
    </row>
    <row r="35" spans="1:18" ht="18.75" x14ac:dyDescent="0.3">
      <c r="C35" s="24"/>
      <c r="D35" s="24"/>
      <c r="E35" s="19"/>
      <c r="F35" s="16">
        <f t="shared" si="1"/>
        <v>0</v>
      </c>
      <c r="J35" s="50"/>
      <c r="K35" s="20"/>
      <c r="P35" s="50"/>
      <c r="Q35" s="20"/>
    </row>
    <row r="36" spans="1:18" ht="18.75" x14ac:dyDescent="0.3">
      <c r="B36" t="s">
        <v>28</v>
      </c>
      <c r="C36" s="26">
        <f>C6+C7+C13+C19+C30+C31+C32+C33</f>
        <v>871255.6</v>
      </c>
      <c r="D36" s="26">
        <f>D6+D7+D13+D19+D30+D31+D32+D33</f>
        <v>882109.19</v>
      </c>
      <c r="E36" s="55">
        <f>E6+E7+E13+E19+E30+E31+E33</f>
        <v>474781.39</v>
      </c>
      <c r="F36" s="55">
        <f>F6+F7+F13+F19+F30+F31</f>
        <v>405757.8</v>
      </c>
      <c r="H36" s="1" t="s">
        <v>53</v>
      </c>
      <c r="J36" s="50"/>
      <c r="K36" s="56" t="s">
        <v>54</v>
      </c>
      <c r="N36" s="1" t="s">
        <v>53</v>
      </c>
      <c r="P36" s="50"/>
      <c r="Q36" s="56" t="s">
        <v>54</v>
      </c>
    </row>
    <row r="37" spans="1:18" ht="18" x14ac:dyDescent="0.25">
      <c r="C37" s="50"/>
      <c r="D37" s="50"/>
      <c r="E37" s="20"/>
      <c r="J37" s="50"/>
      <c r="K37" s="20"/>
      <c r="P37" s="50"/>
      <c r="Q37" s="20"/>
    </row>
    <row r="38" spans="1:18" s="28" customFormat="1" ht="18.75" x14ac:dyDescent="0.3">
      <c r="A38" s="1" t="s">
        <v>53</v>
      </c>
      <c r="B38"/>
      <c r="C38" s="50"/>
      <c r="D38" s="50"/>
      <c r="E38" s="56" t="s">
        <v>54</v>
      </c>
      <c r="F38"/>
      <c r="K38" s="29"/>
      <c r="Q38" s="29"/>
    </row>
    <row r="39" spans="1:18" s="28" customFormat="1" ht="21" x14ac:dyDescent="0.35">
      <c r="A39"/>
      <c r="B39"/>
      <c r="C39" s="50"/>
      <c r="D39" s="50"/>
      <c r="E39" s="20"/>
      <c r="F39"/>
      <c r="H39" s="92"/>
      <c r="I39" s="92"/>
      <c r="J39" s="30"/>
      <c r="K39" s="31"/>
      <c r="L39" s="32"/>
      <c r="N39" s="92"/>
      <c r="O39" s="92"/>
      <c r="P39" s="30"/>
      <c r="Q39" s="31"/>
      <c r="R39" s="32"/>
    </row>
    <row r="40" spans="1:18" s="28" customFormat="1" ht="18" x14ac:dyDescent="0.25">
      <c r="E40" s="29"/>
      <c r="I40" s="27"/>
      <c r="J40" s="33"/>
      <c r="K40" s="34"/>
      <c r="L40" s="35"/>
      <c r="O40" s="27"/>
      <c r="P40" s="33"/>
      <c r="Q40" s="34"/>
      <c r="R40" s="35"/>
    </row>
    <row r="41" spans="1:18" s="28" customFormat="1" ht="21" x14ac:dyDescent="0.35">
      <c r="A41" s="92"/>
      <c r="B41" s="92"/>
      <c r="C41" s="30">
        <f>C34-809.76</f>
        <v>15175.24</v>
      </c>
      <c r="D41" s="30"/>
      <c r="E41" s="31"/>
      <c r="F41" s="32"/>
      <c r="I41" s="27"/>
      <c r="J41" s="36"/>
      <c r="K41" s="37"/>
      <c r="L41" s="35"/>
      <c r="O41" s="27"/>
      <c r="P41" s="36"/>
      <c r="Q41" s="37"/>
      <c r="R41" s="35"/>
    </row>
    <row r="42" spans="1:18" s="28" customFormat="1" ht="18" x14ac:dyDescent="0.25">
      <c r="B42" s="27"/>
      <c r="C42" s="33"/>
      <c r="D42" s="33" t="s">
        <v>138</v>
      </c>
      <c r="E42" s="34"/>
      <c r="F42" s="35"/>
      <c r="I42" s="27"/>
      <c r="J42" s="36"/>
      <c r="K42" s="37"/>
      <c r="L42" s="35"/>
      <c r="O42" s="27"/>
      <c r="P42" s="36"/>
      <c r="Q42" s="37"/>
      <c r="R42" s="35"/>
    </row>
    <row r="43" spans="1:18" s="28" customFormat="1" ht="18" x14ac:dyDescent="0.25">
      <c r="B43" s="27"/>
      <c r="C43" s="36"/>
      <c r="D43" s="36"/>
      <c r="E43" s="37"/>
      <c r="F43" s="35"/>
      <c r="I43" s="27"/>
      <c r="J43" s="36"/>
      <c r="K43" s="37"/>
      <c r="L43" s="35"/>
      <c r="O43" s="27"/>
      <c r="P43" s="36"/>
      <c r="Q43" s="37"/>
      <c r="R43" s="35"/>
    </row>
    <row r="44" spans="1:18" s="28" customFormat="1" ht="18" x14ac:dyDescent="0.25">
      <c r="B44" s="27"/>
      <c r="C44" s="36"/>
      <c r="D44" s="36"/>
      <c r="E44" s="37"/>
      <c r="F44" s="35"/>
      <c r="I44" s="27"/>
      <c r="J44" s="36"/>
      <c r="K44" s="37"/>
      <c r="L44" s="35"/>
      <c r="O44" s="27"/>
      <c r="P44" s="36"/>
      <c r="Q44" s="37"/>
      <c r="R44" s="35"/>
    </row>
    <row r="45" spans="1:18" s="28" customFormat="1" ht="18" x14ac:dyDescent="0.25">
      <c r="B45" s="27"/>
      <c r="C45" s="36"/>
      <c r="D45" s="36"/>
      <c r="E45" s="37"/>
      <c r="F45" s="35"/>
      <c r="I45" s="27"/>
      <c r="J45" s="36"/>
      <c r="K45" s="37"/>
      <c r="L45" s="35"/>
      <c r="O45" s="27"/>
      <c r="P45" s="36"/>
      <c r="Q45" s="37"/>
      <c r="R45" s="35"/>
    </row>
    <row r="46" spans="1:18" s="28" customFormat="1" ht="18" x14ac:dyDescent="0.25">
      <c r="B46" s="27"/>
      <c r="C46" s="36"/>
      <c r="D46" s="36"/>
      <c r="E46" s="37"/>
      <c r="F46" s="35"/>
      <c r="I46" s="27"/>
      <c r="J46" s="36"/>
      <c r="K46" s="37"/>
      <c r="L46" s="35"/>
      <c r="O46" s="27"/>
      <c r="P46" s="36"/>
      <c r="Q46" s="37"/>
      <c r="R46" s="35"/>
    </row>
    <row r="47" spans="1:18" s="28" customFormat="1" ht="18" x14ac:dyDescent="0.25">
      <c r="B47" s="27"/>
      <c r="C47" s="36"/>
      <c r="D47" s="36"/>
      <c r="E47" s="37"/>
      <c r="F47" s="35"/>
      <c r="I47" s="27"/>
      <c r="J47" s="36"/>
      <c r="K47" s="37"/>
      <c r="L47" s="35"/>
      <c r="O47" s="27"/>
      <c r="P47" s="36"/>
      <c r="Q47" s="37"/>
      <c r="R47" s="35"/>
    </row>
    <row r="48" spans="1:18" s="28" customFormat="1" ht="18" x14ac:dyDescent="0.25">
      <c r="B48" s="27"/>
      <c r="C48" s="36"/>
      <c r="D48" s="36"/>
      <c r="E48" s="37"/>
      <c r="F48" s="35"/>
      <c r="I48" s="27"/>
      <c r="J48" s="36"/>
      <c r="K48" s="37"/>
      <c r="L48" s="35"/>
      <c r="O48" s="27"/>
      <c r="P48" s="36"/>
      <c r="Q48" s="37"/>
      <c r="R48" s="35"/>
    </row>
    <row r="49" spans="1:18" s="28" customFormat="1" ht="18" x14ac:dyDescent="0.25">
      <c r="B49" s="27"/>
      <c r="C49" s="36"/>
      <c r="D49" s="36"/>
      <c r="E49" s="37"/>
      <c r="F49" s="35"/>
      <c r="I49" s="27"/>
      <c r="J49" s="36"/>
      <c r="K49" s="37"/>
      <c r="L49" s="35"/>
      <c r="O49" s="27"/>
      <c r="P49" s="36"/>
      <c r="Q49" s="37"/>
      <c r="R49" s="35"/>
    </row>
    <row r="50" spans="1:18" s="28" customFormat="1" ht="18" x14ac:dyDescent="0.25">
      <c r="B50" s="27"/>
      <c r="C50" s="36"/>
      <c r="D50" s="36"/>
      <c r="E50" s="37"/>
      <c r="F50" s="35"/>
      <c r="I50" s="27"/>
      <c r="J50" s="36"/>
      <c r="K50" s="37"/>
      <c r="L50" s="35"/>
      <c r="O50" s="27"/>
      <c r="P50" s="36"/>
      <c r="Q50" s="37"/>
      <c r="R50" s="35"/>
    </row>
    <row r="51" spans="1:18" s="28" customFormat="1" ht="18" x14ac:dyDescent="0.25">
      <c r="B51" s="27"/>
      <c r="C51" s="36"/>
      <c r="D51" s="36"/>
      <c r="E51" s="37"/>
      <c r="F51" s="35"/>
      <c r="I51" s="27"/>
      <c r="J51" s="36"/>
      <c r="K51" s="37"/>
      <c r="L51" s="35"/>
      <c r="O51" s="27"/>
      <c r="P51" s="36"/>
      <c r="Q51" s="37"/>
      <c r="R51" s="35"/>
    </row>
    <row r="52" spans="1:18" s="28" customFormat="1" ht="18" x14ac:dyDescent="0.25">
      <c r="B52" s="27"/>
      <c r="C52" s="36"/>
      <c r="D52" s="36"/>
      <c r="E52" s="37"/>
      <c r="F52" s="35"/>
      <c r="I52" s="27"/>
      <c r="J52" s="36"/>
      <c r="K52" s="37"/>
      <c r="L52" s="35"/>
      <c r="O52" s="27"/>
      <c r="P52" s="36"/>
      <c r="Q52" s="37"/>
      <c r="R52" s="35"/>
    </row>
    <row r="53" spans="1:18" s="28" customFormat="1" ht="18" x14ac:dyDescent="0.25">
      <c r="B53" s="27"/>
      <c r="C53" s="36"/>
      <c r="D53" s="36"/>
      <c r="E53" s="37"/>
      <c r="F53" s="35"/>
      <c r="J53" s="33"/>
      <c r="K53" s="34"/>
      <c r="L53" s="35"/>
      <c r="P53" s="33"/>
      <c r="Q53" s="34"/>
      <c r="R53" s="35"/>
    </row>
    <row r="54" spans="1:18" s="28" customFormat="1" ht="18" x14ac:dyDescent="0.25">
      <c r="B54" s="27"/>
      <c r="C54" s="36"/>
      <c r="D54" s="36"/>
      <c r="E54" s="37"/>
      <c r="F54" s="35"/>
      <c r="J54" s="35"/>
      <c r="K54" s="34"/>
      <c r="L54" s="35"/>
      <c r="P54" s="35"/>
      <c r="Q54" s="34"/>
      <c r="R54" s="35"/>
    </row>
    <row r="55" spans="1:18" s="28" customFormat="1" ht="18" x14ac:dyDescent="0.25">
      <c r="C55" s="33"/>
      <c r="D55" s="33"/>
      <c r="E55" s="34"/>
      <c r="F55" s="35"/>
      <c r="J55" s="35"/>
      <c r="K55" s="34"/>
      <c r="L55" s="35"/>
      <c r="P55" s="35"/>
      <c r="Q55" s="34"/>
      <c r="R55" s="35"/>
    </row>
    <row r="56" spans="1:18" s="28" customFormat="1" ht="18" x14ac:dyDescent="0.25">
      <c r="C56" s="35"/>
      <c r="D56" s="35"/>
      <c r="E56" s="34"/>
      <c r="F56" s="35"/>
      <c r="H56" s="39"/>
      <c r="J56" s="40"/>
      <c r="K56" s="27"/>
      <c r="N56" s="39"/>
      <c r="P56" s="40"/>
      <c r="Q56" s="27"/>
    </row>
    <row r="57" spans="1:18" s="28" customFormat="1" ht="18" x14ac:dyDescent="0.25">
      <c r="C57" s="35"/>
      <c r="D57" s="35"/>
      <c r="E57" s="34"/>
      <c r="F57" s="35"/>
      <c r="J57" s="41"/>
      <c r="K57" s="41"/>
      <c r="P57" s="41"/>
      <c r="Q57" s="41"/>
    </row>
    <row r="58" spans="1:18" s="28" customFormat="1" ht="18" x14ac:dyDescent="0.25">
      <c r="A58" s="39"/>
      <c r="C58" s="40"/>
      <c r="D58" s="40"/>
      <c r="E58" s="27"/>
      <c r="H58" s="38"/>
      <c r="I58" s="27"/>
      <c r="J58" s="27"/>
      <c r="K58" s="27"/>
      <c r="N58" s="38"/>
      <c r="O58" s="27"/>
      <c r="P58" s="27"/>
      <c r="Q58" s="27"/>
    </row>
    <row r="59" spans="1:18" s="28" customFormat="1" ht="18" x14ac:dyDescent="0.25">
      <c r="C59" s="41"/>
      <c r="D59" s="41"/>
      <c r="E59" s="41"/>
      <c r="I59" s="27"/>
      <c r="J59" s="27"/>
      <c r="K59" s="27"/>
      <c r="O59" s="27"/>
      <c r="P59" s="27"/>
      <c r="Q59" s="27"/>
    </row>
    <row r="60" spans="1:18" s="28" customFormat="1" ht="18" x14ac:dyDescent="0.25">
      <c r="A60" s="38"/>
      <c r="B60" s="27"/>
      <c r="C60" s="27"/>
      <c r="D60" s="27"/>
      <c r="E60" s="27"/>
      <c r="I60" s="27"/>
      <c r="J60" s="27"/>
      <c r="K60" s="27"/>
      <c r="O60" s="27"/>
      <c r="P60" s="27"/>
      <c r="Q60" s="27"/>
    </row>
    <row r="61" spans="1:18" s="28" customFormat="1" ht="18" x14ac:dyDescent="0.25">
      <c r="B61" s="27"/>
      <c r="C61" s="27"/>
      <c r="D61" s="27"/>
      <c r="E61" s="27"/>
      <c r="H61" s="38"/>
      <c r="I61" s="27"/>
      <c r="J61" s="27"/>
      <c r="K61" s="27"/>
      <c r="N61" s="38"/>
      <c r="O61" s="27"/>
      <c r="P61" s="27"/>
      <c r="Q61" s="27"/>
    </row>
    <row r="62" spans="1:18" s="28" customFormat="1" ht="18" x14ac:dyDescent="0.25">
      <c r="B62" s="27"/>
      <c r="C62" s="27"/>
      <c r="D62" s="27"/>
      <c r="E62" s="27"/>
      <c r="H62" s="38"/>
      <c r="I62" s="27"/>
      <c r="J62" s="27"/>
      <c r="K62" s="27"/>
      <c r="N62" s="38"/>
      <c r="O62" s="27"/>
      <c r="P62" s="27"/>
      <c r="Q62" s="27"/>
    </row>
    <row r="63" spans="1:18" s="28" customFormat="1" ht="18" x14ac:dyDescent="0.25">
      <c r="A63" s="38"/>
      <c r="B63" s="27"/>
      <c r="C63" s="27"/>
      <c r="D63" s="27"/>
      <c r="E63" s="27"/>
      <c r="H63" s="38"/>
      <c r="I63" s="27"/>
      <c r="J63" s="27"/>
      <c r="K63" s="27"/>
      <c r="N63" s="38"/>
      <c r="O63" s="27"/>
      <c r="P63" s="27"/>
      <c r="Q63" s="27"/>
    </row>
    <row r="64" spans="1:18" s="28" customFormat="1" ht="18" x14ac:dyDescent="0.25">
      <c r="A64" s="38"/>
      <c r="B64" s="27"/>
      <c r="C64" s="27"/>
      <c r="D64" s="27"/>
      <c r="E64" s="27"/>
      <c r="H64" s="38"/>
      <c r="I64" s="27"/>
      <c r="J64" s="27"/>
      <c r="K64" s="27"/>
      <c r="N64" s="38"/>
      <c r="O64" s="27"/>
      <c r="P64" s="27"/>
      <c r="Q64" s="27"/>
    </row>
    <row r="65" spans="1:6" s="28" customFormat="1" ht="18" x14ac:dyDescent="0.25">
      <c r="A65" s="38"/>
      <c r="B65" s="27"/>
      <c r="C65" s="27"/>
      <c r="D65" s="27"/>
      <c r="E65" s="27"/>
    </row>
    <row r="66" spans="1:6" ht="18" x14ac:dyDescent="0.25">
      <c r="A66" s="38"/>
      <c r="B66" s="27"/>
      <c r="C66" s="27"/>
      <c r="D66" s="27"/>
      <c r="E66" s="27"/>
      <c r="F66" s="28"/>
    </row>
    <row r="67" spans="1:6" x14ac:dyDescent="0.25">
      <c r="A67" s="28"/>
      <c r="B67" s="28"/>
      <c r="C67" s="28"/>
      <c r="D67" s="28"/>
      <c r="E67" s="28"/>
      <c r="F67" s="28"/>
    </row>
  </sheetData>
  <mergeCells count="9">
    <mergeCell ref="N5:O5"/>
    <mergeCell ref="N6:N7"/>
    <mergeCell ref="N39:O39"/>
    <mergeCell ref="A41:B41"/>
    <mergeCell ref="A5:B5"/>
    <mergeCell ref="H5:I5"/>
    <mergeCell ref="A6:A7"/>
    <mergeCell ref="H6:H7"/>
    <mergeCell ref="H39:I39"/>
  </mergeCells>
  <pageMargins left="0.7" right="0.7" top="0.75" bottom="0.75" header="0.3" footer="0.3"/>
  <pageSetup paperSize="9" scale="83" orientation="portrait" r:id="rId1"/>
  <colBreaks count="1" manualBreakCount="1">
    <brk id="7" max="1048575" man="1"/>
  </colBreaks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topLeftCell="A16" zoomScaleNormal="100" workbookViewId="0">
      <selection activeCell="D43" sqref="D43"/>
    </sheetView>
  </sheetViews>
  <sheetFormatPr defaultRowHeight="15" x14ac:dyDescent="0.25"/>
  <cols>
    <col min="1" max="1" width="27.5703125" customWidth="1"/>
    <col min="2" max="2" width="11.42578125" customWidth="1"/>
    <col min="3" max="3" width="13.140625" customWidth="1"/>
    <col min="4" max="4" width="14.42578125" customWidth="1"/>
    <col min="5" max="5" width="15" customWidth="1"/>
    <col min="6" max="6" width="16" customWidth="1"/>
    <col min="7" max="7" width="7.7109375" customWidth="1"/>
    <col min="8" max="8" width="28.85546875" customWidth="1"/>
    <col min="9" max="9" width="11.42578125" customWidth="1"/>
    <col min="10" max="10" width="14.28515625" customWidth="1"/>
    <col min="11" max="11" width="15" customWidth="1"/>
    <col min="12" max="12" width="14.5703125" customWidth="1"/>
    <col min="14" max="14" width="28.85546875" customWidth="1"/>
    <col min="15" max="15" width="11.42578125" customWidth="1"/>
    <col min="16" max="16" width="16.28515625" customWidth="1"/>
    <col min="17" max="17" width="15" customWidth="1"/>
    <col min="18" max="18" width="14.5703125" customWidth="1"/>
  </cols>
  <sheetData>
    <row r="1" spans="1:18" ht="18.75" x14ac:dyDescent="0.3">
      <c r="B1" s="1" t="s">
        <v>61</v>
      </c>
      <c r="C1" s="1"/>
      <c r="D1" s="1"/>
      <c r="E1" s="1"/>
      <c r="I1" s="1" t="s">
        <v>55</v>
      </c>
      <c r="K1" s="1"/>
      <c r="O1" s="1" t="s">
        <v>119</v>
      </c>
      <c r="Q1" s="1"/>
    </row>
    <row r="2" spans="1:18" ht="18.75" x14ac:dyDescent="0.3">
      <c r="B2" s="1" t="s">
        <v>52</v>
      </c>
      <c r="C2" s="1"/>
      <c r="D2" s="1"/>
      <c r="E2" s="1"/>
      <c r="I2" s="1" t="s">
        <v>52</v>
      </c>
      <c r="K2" s="1"/>
      <c r="O2" s="1" t="s">
        <v>52</v>
      </c>
      <c r="Q2" s="1"/>
    </row>
    <row r="3" spans="1:18" ht="18.75" x14ac:dyDescent="0.3">
      <c r="B3" s="1"/>
      <c r="C3" s="1"/>
      <c r="D3" s="1"/>
      <c r="E3" s="1"/>
      <c r="I3" s="1"/>
      <c r="J3" s="1"/>
      <c r="K3" s="1"/>
      <c r="O3" s="1"/>
      <c r="P3" s="1"/>
      <c r="Q3" s="1"/>
    </row>
    <row r="4" spans="1:18" ht="19.5" thickBot="1" x14ac:dyDescent="0.35">
      <c r="F4" s="1"/>
      <c r="L4" s="1"/>
      <c r="R4" s="1"/>
    </row>
    <row r="5" spans="1:18" ht="63.75" thickBot="1" x14ac:dyDescent="0.4">
      <c r="A5" s="88" t="s">
        <v>62</v>
      </c>
      <c r="B5" s="89"/>
      <c r="C5" s="8" t="s">
        <v>58</v>
      </c>
      <c r="D5" s="8" t="s">
        <v>60</v>
      </c>
      <c r="E5" s="58" t="s">
        <v>131</v>
      </c>
      <c r="F5" s="10" t="s">
        <v>39</v>
      </c>
      <c r="H5" s="88" t="s">
        <v>43</v>
      </c>
      <c r="I5" s="89"/>
      <c r="J5" s="8" t="s">
        <v>117</v>
      </c>
      <c r="K5" s="58" t="s">
        <v>131</v>
      </c>
      <c r="L5" s="10" t="s">
        <v>39</v>
      </c>
      <c r="N5" s="88" t="s">
        <v>43</v>
      </c>
      <c r="O5" s="89"/>
      <c r="P5" s="8" t="s">
        <v>117</v>
      </c>
      <c r="Q5" s="58" t="s">
        <v>131</v>
      </c>
      <c r="R5" s="10" t="s">
        <v>39</v>
      </c>
    </row>
    <row r="6" spans="1:18" ht="18.75" x14ac:dyDescent="0.3">
      <c r="A6" s="90" t="s">
        <v>0</v>
      </c>
      <c r="B6" s="11" t="s">
        <v>1</v>
      </c>
      <c r="C6" s="22">
        <v>590000</v>
      </c>
      <c r="D6" s="22">
        <f>C6+10000</f>
        <v>600000</v>
      </c>
      <c r="E6" s="18">
        <f>39656.85+40295.33+44324.47+50538.33+56592.72+46702.05+43881.77+54648.97</f>
        <v>376640.49</v>
      </c>
      <c r="F6" s="14">
        <f>D6-E6</f>
        <v>223359.51</v>
      </c>
      <c r="H6" s="90" t="s">
        <v>0</v>
      </c>
      <c r="I6" s="11" t="s">
        <v>1</v>
      </c>
      <c r="J6" s="22"/>
      <c r="K6" s="18">
        <f>8838.8+1261.5</f>
        <v>10100.299999999999</v>
      </c>
      <c r="L6" s="14">
        <f>J6-K6</f>
        <v>-10100.299999999999</v>
      </c>
      <c r="N6" s="90" t="s">
        <v>0</v>
      </c>
      <c r="O6" s="11" t="s">
        <v>1</v>
      </c>
      <c r="P6" s="22"/>
      <c r="Q6" s="18"/>
      <c r="R6" s="14">
        <f>P6-Q6</f>
        <v>0</v>
      </c>
    </row>
    <row r="7" spans="1:18" ht="18.75" x14ac:dyDescent="0.3">
      <c r="A7" s="91"/>
      <c r="B7" s="3" t="s">
        <v>2</v>
      </c>
      <c r="C7" s="23">
        <f>SUM(C8:C11)</f>
        <v>28000</v>
      </c>
      <c r="D7" s="22">
        <f t="shared" ref="D7:D34" si="0">C7</f>
        <v>28000</v>
      </c>
      <c r="E7" s="17">
        <f>SUM(E8:E11)</f>
        <v>11229.66</v>
      </c>
      <c r="F7" s="15">
        <f t="shared" ref="F7:F35" si="1">D7-E7</f>
        <v>16770.34</v>
      </c>
      <c r="H7" s="91"/>
      <c r="I7" s="3" t="s">
        <v>2</v>
      </c>
      <c r="J7" s="23"/>
      <c r="K7" s="17"/>
      <c r="L7" s="15">
        <f t="shared" ref="L7:L11" si="2">J7-K7</f>
        <v>0</v>
      </c>
      <c r="N7" s="91"/>
      <c r="O7" s="3" t="s">
        <v>2</v>
      </c>
      <c r="P7" s="23"/>
      <c r="Q7" s="17"/>
      <c r="R7" s="15">
        <f t="shared" ref="R7:R11" si="3">P7-Q7</f>
        <v>0</v>
      </c>
    </row>
    <row r="8" spans="1:18" ht="18.75" x14ac:dyDescent="0.3">
      <c r="A8" s="7" t="s">
        <v>3</v>
      </c>
      <c r="B8" s="4" t="s">
        <v>4</v>
      </c>
      <c r="C8" s="24">
        <v>5000</v>
      </c>
      <c r="D8" s="22">
        <f t="shared" si="0"/>
        <v>5000</v>
      </c>
      <c r="E8" s="19">
        <f>750+925+1075+1000+500</f>
        <v>4250</v>
      </c>
      <c r="F8" s="16">
        <f t="shared" si="1"/>
        <v>750</v>
      </c>
      <c r="H8" s="7" t="s">
        <v>3</v>
      </c>
      <c r="I8" s="4" t="s">
        <v>4</v>
      </c>
      <c r="J8" s="24"/>
      <c r="K8" s="19"/>
      <c r="L8" s="16">
        <f t="shared" si="2"/>
        <v>0</v>
      </c>
      <c r="N8" s="7" t="s">
        <v>3</v>
      </c>
      <c r="O8" s="4" t="s">
        <v>4</v>
      </c>
      <c r="P8" s="24"/>
      <c r="Q8" s="19"/>
      <c r="R8" s="16">
        <f t="shared" si="3"/>
        <v>0</v>
      </c>
    </row>
    <row r="9" spans="1:18" ht="18.75" x14ac:dyDescent="0.3">
      <c r="A9" s="7" t="s">
        <v>5</v>
      </c>
      <c r="B9" s="4" t="s">
        <v>6</v>
      </c>
      <c r="C9" s="24">
        <v>20000</v>
      </c>
      <c r="D9" s="22">
        <f t="shared" si="0"/>
        <v>20000</v>
      </c>
      <c r="E9" s="19">
        <f>750.22+723.76+723.76+723.76+723.76+763.15+823.15+823.15</f>
        <v>6054.7099999999991</v>
      </c>
      <c r="F9" s="16">
        <f t="shared" si="1"/>
        <v>13945.29</v>
      </c>
      <c r="H9" s="7" t="s">
        <v>5</v>
      </c>
      <c r="I9" s="4" t="s">
        <v>6</v>
      </c>
      <c r="J9" s="24"/>
      <c r="K9" s="19"/>
      <c r="L9" s="16">
        <f t="shared" si="2"/>
        <v>0</v>
      </c>
      <c r="N9" s="7" t="s">
        <v>5</v>
      </c>
      <c r="O9" s="4" t="s">
        <v>6</v>
      </c>
      <c r="P9" s="24"/>
      <c r="Q9" s="19"/>
      <c r="R9" s="16">
        <f t="shared" si="3"/>
        <v>0</v>
      </c>
    </row>
    <row r="10" spans="1:18" ht="18.75" x14ac:dyDescent="0.3">
      <c r="A10" s="7" t="s">
        <v>7</v>
      </c>
      <c r="B10" s="4" t="s">
        <v>8</v>
      </c>
      <c r="C10" s="21"/>
      <c r="D10" s="22">
        <f t="shared" si="0"/>
        <v>0</v>
      </c>
      <c r="E10" s="19"/>
      <c r="F10" s="16">
        <f t="shared" si="1"/>
        <v>0</v>
      </c>
      <c r="H10" s="7" t="s">
        <v>7</v>
      </c>
      <c r="I10" s="4" t="s">
        <v>8</v>
      </c>
      <c r="J10" s="21"/>
      <c r="K10" s="19"/>
      <c r="L10" s="16">
        <f t="shared" si="2"/>
        <v>0</v>
      </c>
      <c r="N10" s="7" t="s">
        <v>7</v>
      </c>
      <c r="O10" s="4" t="s">
        <v>8</v>
      </c>
      <c r="P10" s="21"/>
      <c r="Q10" s="19"/>
      <c r="R10" s="16">
        <f t="shared" si="3"/>
        <v>0</v>
      </c>
    </row>
    <row r="11" spans="1:18" ht="18.75" x14ac:dyDescent="0.3">
      <c r="A11" s="7" t="s">
        <v>9</v>
      </c>
      <c r="B11" s="4" t="s">
        <v>10</v>
      </c>
      <c r="C11" s="24">
        <v>3000</v>
      </c>
      <c r="D11" s="22">
        <f t="shared" si="0"/>
        <v>3000</v>
      </c>
      <c r="E11" s="19">
        <f>317.08+153.39+267.14+187.34</f>
        <v>924.94999999999993</v>
      </c>
      <c r="F11" s="16">
        <f t="shared" si="1"/>
        <v>2075.0500000000002</v>
      </c>
      <c r="H11" s="7" t="s">
        <v>9</v>
      </c>
      <c r="I11" s="4" t="s">
        <v>10</v>
      </c>
      <c r="J11" s="24"/>
      <c r="K11" s="19"/>
      <c r="L11" s="16">
        <f t="shared" si="2"/>
        <v>0</v>
      </c>
      <c r="N11" s="7" t="s">
        <v>9</v>
      </c>
      <c r="O11" s="4" t="s">
        <v>10</v>
      </c>
      <c r="P11" s="24"/>
      <c r="Q11" s="19"/>
      <c r="R11" s="16">
        <f t="shared" si="3"/>
        <v>0</v>
      </c>
    </row>
    <row r="12" spans="1:18" ht="18.75" x14ac:dyDescent="0.3">
      <c r="A12" s="7"/>
      <c r="B12" s="4"/>
      <c r="C12" s="24"/>
      <c r="D12" s="22">
        <f t="shared" si="0"/>
        <v>0</v>
      </c>
      <c r="E12" s="19"/>
      <c r="F12" s="16"/>
      <c r="H12" s="7"/>
      <c r="I12" s="4"/>
      <c r="J12" s="24"/>
      <c r="K12" s="19"/>
      <c r="L12" s="16"/>
      <c r="N12" s="7"/>
      <c r="O12" s="4"/>
      <c r="P12" s="24"/>
      <c r="Q12" s="19"/>
      <c r="R12" s="16"/>
    </row>
    <row r="13" spans="1:18" ht="18.75" x14ac:dyDescent="0.3">
      <c r="A13" s="7" t="s">
        <v>11</v>
      </c>
      <c r="B13" s="3" t="s">
        <v>12</v>
      </c>
      <c r="C13" s="23">
        <f>SUM(C14:C17)</f>
        <v>144117.59999999998</v>
      </c>
      <c r="D13" s="22">
        <f>D14+D15+D16+D17</f>
        <v>146449.59999999998</v>
      </c>
      <c r="E13" s="23">
        <f>SUM(E14:E17)</f>
        <v>86098.73000000001</v>
      </c>
      <c r="F13" s="15">
        <f>D13-E13</f>
        <v>60350.869999999966</v>
      </c>
      <c r="H13" s="7" t="s">
        <v>11</v>
      </c>
      <c r="I13" s="3" t="s">
        <v>12</v>
      </c>
      <c r="J13" s="23"/>
      <c r="K13" s="23">
        <f>K14+K15+K16+K17</f>
        <v>2338.6999999999998</v>
      </c>
      <c r="L13" s="15">
        <f>J13-K13</f>
        <v>-2338.6999999999998</v>
      </c>
      <c r="N13" s="7" t="s">
        <v>11</v>
      </c>
      <c r="O13" s="3" t="s">
        <v>12</v>
      </c>
      <c r="P13" s="23"/>
      <c r="Q13" s="23"/>
      <c r="R13" s="15">
        <f>P13-Q13</f>
        <v>0</v>
      </c>
    </row>
    <row r="14" spans="1:18" ht="18.75" x14ac:dyDescent="0.3">
      <c r="A14" s="7" t="s">
        <v>13</v>
      </c>
      <c r="B14" s="4" t="s">
        <v>14</v>
      </c>
      <c r="C14" s="24">
        <f>(C6+C7)*11.42%</f>
        <v>70575.599999999991</v>
      </c>
      <c r="D14" s="22">
        <f>C14+1142</f>
        <v>71717.599999999991</v>
      </c>
      <c r="E14" s="19">
        <f>4773.81+4821.94+5289.16+6088.51+6339.55+5158.35+5203.75+6491.47</f>
        <v>44166.54</v>
      </c>
      <c r="F14" s="16">
        <f>D14-E14</f>
        <v>27551.05999999999</v>
      </c>
      <c r="H14" s="7" t="s">
        <v>13</v>
      </c>
      <c r="I14" s="4" t="s">
        <v>14</v>
      </c>
      <c r="J14" s="24"/>
      <c r="K14" s="19">
        <f>1009.4+144.07</f>
        <v>1153.47</v>
      </c>
      <c r="L14" s="16">
        <f>J14-K14</f>
        <v>-1153.47</v>
      </c>
      <c r="N14" s="7" t="s">
        <v>13</v>
      </c>
      <c r="O14" s="4" t="s">
        <v>14</v>
      </c>
      <c r="P14" s="24"/>
      <c r="Q14" s="19"/>
      <c r="R14" s="16">
        <f>P14-Q14</f>
        <v>0</v>
      </c>
    </row>
    <row r="15" spans="1:18" ht="18.75" x14ac:dyDescent="0.3">
      <c r="A15" s="7" t="s">
        <v>15</v>
      </c>
      <c r="B15" s="4" t="s">
        <v>16</v>
      </c>
      <c r="C15" s="24">
        <f>(C6+C7)*4.3%</f>
        <v>26573.999999999996</v>
      </c>
      <c r="D15" s="22">
        <f>C15+430</f>
        <v>27003.999999999996</v>
      </c>
      <c r="E15" s="19">
        <f>1561.59+1620.97+1768.38+1992.04+2105.28+1753.34+1759.8+2148.72</f>
        <v>14710.119999999999</v>
      </c>
      <c r="F15" s="16">
        <f>D15-E15</f>
        <v>12293.879999999997</v>
      </c>
      <c r="H15" s="7" t="s">
        <v>15</v>
      </c>
      <c r="I15" s="4" t="s">
        <v>16</v>
      </c>
      <c r="J15" s="24"/>
      <c r="K15" s="19">
        <f>380.04+35.32</f>
        <v>415.36</v>
      </c>
      <c r="L15" s="16">
        <f>J15-K15</f>
        <v>-415.36</v>
      </c>
      <c r="N15" s="7" t="s">
        <v>15</v>
      </c>
      <c r="O15" s="4" t="s">
        <v>16</v>
      </c>
      <c r="P15" s="24"/>
      <c r="Q15" s="19"/>
      <c r="R15" s="16">
        <f>P15-Q15</f>
        <v>0</v>
      </c>
    </row>
    <row r="16" spans="1:18" ht="18.75" x14ac:dyDescent="0.3">
      <c r="A16" s="7" t="s">
        <v>17</v>
      </c>
      <c r="B16" s="4" t="s">
        <v>18</v>
      </c>
      <c r="C16" s="24">
        <f>(C6+C7)*4.8%</f>
        <v>29664</v>
      </c>
      <c r="D16" s="22">
        <f>C16+480</f>
        <v>30144</v>
      </c>
      <c r="E16" s="19">
        <f>2022.39+2016.88+2200.55+2549.61+2667.8+2131.66+2140.16+2633.45</f>
        <v>18362.5</v>
      </c>
      <c r="F16" s="16">
        <f t="shared" ref="F16:F17" si="4">D16-E16</f>
        <v>11781.5</v>
      </c>
      <c r="H16" s="7" t="s">
        <v>17</v>
      </c>
      <c r="I16" s="4" t="s">
        <v>18</v>
      </c>
      <c r="J16" s="24"/>
      <c r="K16" s="19">
        <f>424.26+60.55</f>
        <v>484.81</v>
      </c>
      <c r="L16" s="16">
        <f t="shared" ref="L16:L17" si="5">J16-K16</f>
        <v>-484.81</v>
      </c>
      <c r="N16" s="7" t="s">
        <v>17</v>
      </c>
      <c r="O16" s="4" t="s">
        <v>18</v>
      </c>
      <c r="P16" s="24"/>
      <c r="Q16" s="19"/>
      <c r="R16" s="16">
        <f t="shared" ref="R16:R17" si="6">P16-Q16</f>
        <v>0</v>
      </c>
    </row>
    <row r="17" spans="1:18" ht="18.75" x14ac:dyDescent="0.3">
      <c r="A17" s="7" t="s">
        <v>19</v>
      </c>
      <c r="B17" s="4" t="s">
        <v>20</v>
      </c>
      <c r="C17" s="24">
        <f>(C6+C7)*2.8%</f>
        <v>17304</v>
      </c>
      <c r="D17" s="22">
        <f>C17+280</f>
        <v>17584</v>
      </c>
      <c r="E17" s="19">
        <f>958.22+974.01+1064.15+1235.05+1273.58+1003.49+1040.96+1310.11</f>
        <v>8859.57</v>
      </c>
      <c r="F17" s="16">
        <f t="shared" si="4"/>
        <v>8724.43</v>
      </c>
      <c r="H17" s="7" t="s">
        <v>19</v>
      </c>
      <c r="I17" s="4" t="s">
        <v>20</v>
      </c>
      <c r="J17" s="24"/>
      <c r="K17" s="19">
        <f>247.5+37.56</f>
        <v>285.06</v>
      </c>
      <c r="L17" s="16">
        <f t="shared" si="5"/>
        <v>-285.06</v>
      </c>
      <c r="N17" s="7" t="s">
        <v>19</v>
      </c>
      <c r="O17" s="4" t="s">
        <v>20</v>
      </c>
      <c r="P17" s="24"/>
      <c r="Q17" s="19"/>
      <c r="R17" s="16">
        <f t="shared" si="6"/>
        <v>0</v>
      </c>
    </row>
    <row r="18" spans="1:18" ht="18.75" x14ac:dyDescent="0.3">
      <c r="A18" s="47"/>
      <c r="B18" s="4"/>
      <c r="C18" s="24"/>
      <c r="D18" s="22">
        <f t="shared" si="0"/>
        <v>0</v>
      </c>
      <c r="E18" s="19"/>
      <c r="F18" s="16"/>
      <c r="H18" s="47"/>
      <c r="I18" s="4"/>
      <c r="J18" s="24"/>
      <c r="K18" s="19"/>
      <c r="L18" s="16"/>
      <c r="N18" s="47"/>
      <c r="O18" s="4"/>
      <c r="P18" s="24"/>
      <c r="Q18" s="19"/>
      <c r="R18" s="16"/>
    </row>
    <row r="19" spans="1:18" ht="18.75" x14ac:dyDescent="0.3">
      <c r="A19" s="48" t="s">
        <v>40</v>
      </c>
      <c r="B19" s="4" t="s">
        <v>29</v>
      </c>
      <c r="C19" s="24">
        <f>SUM(C20:C29)</f>
        <v>104638</v>
      </c>
      <c r="D19" s="22">
        <f>D20+D21+D22+D23+D24+D25+D26+D27+D28+D29</f>
        <v>127143.59</v>
      </c>
      <c r="E19" s="17">
        <f>SUM(E20:E29)</f>
        <v>71318.44</v>
      </c>
      <c r="F19" s="15">
        <f t="shared" si="1"/>
        <v>55825.149999999994</v>
      </c>
      <c r="H19" s="48" t="s">
        <v>40</v>
      </c>
      <c r="I19" s="4" t="s">
        <v>29</v>
      </c>
      <c r="J19" s="24"/>
      <c r="K19" s="17">
        <f>K20+K21+K22+K23+K24+K25+K26+K27+K28+K29</f>
        <v>1959.9999999999998</v>
      </c>
      <c r="L19" s="15">
        <f>J19-K19</f>
        <v>-1959.9999999999998</v>
      </c>
      <c r="N19" s="48" t="s">
        <v>40</v>
      </c>
      <c r="O19" s="4" t="s">
        <v>29</v>
      </c>
      <c r="P19" s="24"/>
      <c r="Q19" s="17"/>
      <c r="R19" s="15">
        <f>P19-Q19</f>
        <v>0</v>
      </c>
    </row>
    <row r="20" spans="1:18" ht="18.75" x14ac:dyDescent="0.3">
      <c r="A20" s="43" t="s">
        <v>21</v>
      </c>
      <c r="B20" s="44" t="s">
        <v>22</v>
      </c>
      <c r="C20" s="45">
        <v>35000</v>
      </c>
      <c r="D20" s="22">
        <f t="shared" si="0"/>
        <v>35000</v>
      </c>
      <c r="E20" s="49">
        <f>3246+3872+3105.5+3168+2812.5+2052.5</f>
        <v>18256.5</v>
      </c>
      <c r="F20" s="16">
        <f t="shared" si="1"/>
        <v>16743.5</v>
      </c>
      <c r="H20" s="43" t="s">
        <v>21</v>
      </c>
      <c r="I20" s="44" t="s">
        <v>22</v>
      </c>
      <c r="J20" s="45"/>
      <c r="K20" s="49"/>
      <c r="L20" s="16">
        <f t="shared" ref="L20" si="7">J20-K20</f>
        <v>0</v>
      </c>
      <c r="N20" s="43" t="s">
        <v>21</v>
      </c>
      <c r="O20" s="44" t="s">
        <v>22</v>
      </c>
      <c r="P20" s="45"/>
      <c r="Q20" s="49"/>
      <c r="R20" s="16">
        <f t="shared" ref="R20" si="8">P20-Q20</f>
        <v>0</v>
      </c>
    </row>
    <row r="21" spans="1:18" ht="18.75" x14ac:dyDescent="0.3">
      <c r="A21" s="43" t="s">
        <v>41</v>
      </c>
      <c r="B21" s="44" t="s">
        <v>30</v>
      </c>
      <c r="C21" s="45"/>
      <c r="D21" s="22">
        <f t="shared" si="0"/>
        <v>0</v>
      </c>
      <c r="E21" s="46"/>
      <c r="F21" s="15"/>
      <c r="H21" s="43" t="s">
        <v>41</v>
      </c>
      <c r="I21" s="44" t="s">
        <v>30</v>
      </c>
      <c r="J21" s="45"/>
      <c r="K21" s="46"/>
      <c r="L21" s="15"/>
      <c r="N21" s="43" t="s">
        <v>41</v>
      </c>
      <c r="O21" s="44" t="s">
        <v>30</v>
      </c>
      <c r="P21" s="45"/>
      <c r="Q21" s="46"/>
      <c r="R21" s="15"/>
    </row>
    <row r="22" spans="1:18" ht="18.75" x14ac:dyDescent="0.3">
      <c r="A22" s="43" t="s">
        <v>42</v>
      </c>
      <c r="B22" s="44" t="s">
        <v>31</v>
      </c>
      <c r="C22" s="45">
        <v>1000</v>
      </c>
      <c r="D22" s="22">
        <f t="shared" si="0"/>
        <v>1000</v>
      </c>
      <c r="E22" s="49"/>
      <c r="F22" s="16">
        <f t="shared" si="1"/>
        <v>1000</v>
      </c>
      <c r="H22" s="43" t="s">
        <v>42</v>
      </c>
      <c r="I22" s="44" t="s">
        <v>31</v>
      </c>
      <c r="J22" s="45"/>
      <c r="K22" s="49"/>
      <c r="L22" s="16">
        <f t="shared" ref="L22:L23" si="9">J22-K22</f>
        <v>0</v>
      </c>
      <c r="N22" s="43" t="s">
        <v>42</v>
      </c>
      <c r="O22" s="44" t="s">
        <v>31</v>
      </c>
      <c r="P22" s="45"/>
      <c r="Q22" s="49"/>
      <c r="R22" s="16">
        <f t="shared" ref="R22:R23" si="10">P22-Q22</f>
        <v>0</v>
      </c>
    </row>
    <row r="23" spans="1:18" ht="18.75" x14ac:dyDescent="0.3">
      <c r="A23" s="7" t="s">
        <v>23</v>
      </c>
      <c r="B23" s="12" t="s">
        <v>24</v>
      </c>
      <c r="C23" s="21"/>
      <c r="D23" s="22">
        <f>C23+7331.03</f>
        <v>7331.03</v>
      </c>
      <c r="E23" s="19">
        <f>7811.9</f>
        <v>7811.9</v>
      </c>
      <c r="F23" s="16">
        <f t="shared" si="1"/>
        <v>-480.86999999999989</v>
      </c>
      <c r="H23" s="7" t="s">
        <v>23</v>
      </c>
      <c r="I23" s="12" t="s">
        <v>24</v>
      </c>
      <c r="J23" s="21"/>
      <c r="K23" s="19"/>
      <c r="L23" s="16">
        <f t="shared" si="9"/>
        <v>0</v>
      </c>
      <c r="N23" s="7" t="s">
        <v>23</v>
      </c>
      <c r="O23" s="12" t="s">
        <v>24</v>
      </c>
      <c r="P23" s="21"/>
      <c r="Q23" s="19"/>
      <c r="R23" s="16">
        <f t="shared" si="10"/>
        <v>0</v>
      </c>
    </row>
    <row r="24" spans="1:18" ht="18.75" x14ac:dyDescent="0.3">
      <c r="A24" s="7" t="s">
        <v>32</v>
      </c>
      <c r="B24" s="12" t="s">
        <v>33</v>
      </c>
      <c r="C24" s="24">
        <v>10000</v>
      </c>
      <c r="D24" s="22">
        <f>C24+11652</f>
        <v>21652</v>
      </c>
      <c r="E24" s="19">
        <f>410.08+3595.84+620.4+2669.94+98.8+1936.31+1220.9+1760+2055.4</f>
        <v>14367.67</v>
      </c>
      <c r="F24" s="16">
        <f>D24-E24</f>
        <v>7284.33</v>
      </c>
      <c r="H24" s="7" t="s">
        <v>32</v>
      </c>
      <c r="I24" s="12" t="s">
        <v>33</v>
      </c>
      <c r="J24" s="24"/>
      <c r="K24" s="19">
        <f>178+232.08+1095.12</f>
        <v>1505.1999999999998</v>
      </c>
      <c r="L24" s="16">
        <f>J24-K24</f>
        <v>-1505.1999999999998</v>
      </c>
      <c r="N24" s="7" t="s">
        <v>32</v>
      </c>
      <c r="O24" s="12" t="s">
        <v>33</v>
      </c>
      <c r="P24" s="24">
        <f>18794.99+57835.48</f>
        <v>76630.47</v>
      </c>
      <c r="Q24" s="19">
        <v>75239.19</v>
      </c>
      <c r="R24" s="16">
        <f>P24-Q24</f>
        <v>1391.2799999999988</v>
      </c>
    </row>
    <row r="25" spans="1:18" ht="18.75" x14ac:dyDescent="0.3">
      <c r="A25" s="7" t="s">
        <v>34</v>
      </c>
      <c r="B25" s="4" t="s">
        <v>35</v>
      </c>
      <c r="C25" s="24">
        <v>16638</v>
      </c>
      <c r="D25" s="22">
        <f t="shared" si="0"/>
        <v>16638</v>
      </c>
      <c r="E25" s="19">
        <f>233.79+240.68+242.51+345.23+229.06+202.49+187.93+11044.84+134.45</f>
        <v>12860.980000000001</v>
      </c>
      <c r="F25" s="16">
        <f>D25-E25</f>
        <v>3777.0199999999986</v>
      </c>
      <c r="H25" s="7" t="s">
        <v>34</v>
      </c>
      <c r="I25" s="4" t="s">
        <v>35</v>
      </c>
      <c r="J25" s="24"/>
      <c r="K25" s="19"/>
      <c r="L25" s="16">
        <f>J25-K25</f>
        <v>0</v>
      </c>
      <c r="N25" s="7" t="s">
        <v>34</v>
      </c>
      <c r="O25" s="4" t="s">
        <v>35</v>
      </c>
      <c r="P25" s="24"/>
      <c r="Q25" s="19"/>
      <c r="R25" s="16">
        <f>P25-Q25</f>
        <v>0</v>
      </c>
    </row>
    <row r="26" spans="1:18" ht="18.75" x14ac:dyDescent="0.3">
      <c r="A26" s="42" t="s">
        <v>44</v>
      </c>
      <c r="B26" s="12" t="s">
        <v>25</v>
      </c>
      <c r="C26" s="24">
        <v>30000</v>
      </c>
      <c r="D26" s="22">
        <f>C26+3522.56</f>
        <v>33522.559999999998</v>
      </c>
      <c r="E26" s="19">
        <f>584.22+2186.87+656.74+1297.43+5163.95+2776.24+1093.98+320.89+3074.07</f>
        <v>17154.39</v>
      </c>
      <c r="F26" s="15">
        <f t="shared" si="1"/>
        <v>16368.169999999998</v>
      </c>
      <c r="H26" s="42" t="s">
        <v>44</v>
      </c>
      <c r="I26" s="12" t="s">
        <v>25</v>
      </c>
      <c r="J26" s="24"/>
      <c r="K26" s="19">
        <f>454.8</f>
        <v>454.8</v>
      </c>
      <c r="L26" s="15">
        <f t="shared" ref="L26:L28" si="11">J26-K26</f>
        <v>-454.8</v>
      </c>
      <c r="N26" s="42" t="s">
        <v>44</v>
      </c>
      <c r="O26" s="12" t="s">
        <v>25</v>
      </c>
      <c r="P26" s="24"/>
      <c r="Q26" s="19"/>
      <c r="R26" s="15">
        <f t="shared" ref="R26:R33" si="12">P26-Q26</f>
        <v>0</v>
      </c>
    </row>
    <row r="27" spans="1:18" ht="18.75" x14ac:dyDescent="0.3">
      <c r="A27" s="42" t="s">
        <v>36</v>
      </c>
      <c r="B27" s="12" t="s">
        <v>37</v>
      </c>
      <c r="C27" s="24">
        <v>10000</v>
      </c>
      <c r="D27" s="22">
        <f t="shared" si="0"/>
        <v>10000</v>
      </c>
      <c r="E27" s="19"/>
      <c r="F27" s="16">
        <f t="shared" si="1"/>
        <v>10000</v>
      </c>
      <c r="H27" s="42" t="s">
        <v>36</v>
      </c>
      <c r="I27" s="12" t="s">
        <v>37</v>
      </c>
      <c r="J27" s="24"/>
      <c r="K27" s="19"/>
      <c r="L27" s="16">
        <f t="shared" si="11"/>
        <v>0</v>
      </c>
      <c r="N27" s="42" t="s">
        <v>36</v>
      </c>
      <c r="O27" s="12" t="s">
        <v>37</v>
      </c>
      <c r="P27" s="24"/>
      <c r="Q27" s="19"/>
      <c r="R27" s="16">
        <f t="shared" si="12"/>
        <v>0</v>
      </c>
    </row>
    <row r="28" spans="1:18" ht="18.75" x14ac:dyDescent="0.3">
      <c r="A28" s="42" t="s">
        <v>45</v>
      </c>
      <c r="B28" s="12" t="s">
        <v>38</v>
      </c>
      <c r="C28" s="24">
        <v>2000</v>
      </c>
      <c r="D28" s="22">
        <f t="shared" si="0"/>
        <v>2000</v>
      </c>
      <c r="E28" s="19">
        <f>50+50+148+276+246+97</f>
        <v>867</v>
      </c>
      <c r="F28" s="16">
        <f t="shared" si="1"/>
        <v>1133</v>
      </c>
      <c r="H28" s="42" t="s">
        <v>45</v>
      </c>
      <c r="I28" s="12" t="s">
        <v>38</v>
      </c>
      <c r="J28" s="24"/>
      <c r="K28" s="19"/>
      <c r="L28" s="16">
        <f t="shared" si="11"/>
        <v>0</v>
      </c>
      <c r="N28" s="7" t="s">
        <v>74</v>
      </c>
      <c r="O28" s="12" t="s">
        <v>120</v>
      </c>
      <c r="P28" s="24">
        <v>26420.9</v>
      </c>
      <c r="Q28" s="19">
        <v>27137.31</v>
      </c>
      <c r="R28" s="16">
        <f t="shared" si="12"/>
        <v>-716.40999999999985</v>
      </c>
    </row>
    <row r="29" spans="1:18" ht="18.75" x14ac:dyDescent="0.3">
      <c r="A29" s="42" t="s">
        <v>46</v>
      </c>
      <c r="B29" s="12" t="s">
        <v>49</v>
      </c>
      <c r="C29" s="24"/>
      <c r="D29" s="22">
        <f t="shared" si="0"/>
        <v>0</v>
      </c>
      <c r="E29" s="19"/>
      <c r="F29" s="16"/>
      <c r="H29" s="42" t="s">
        <v>46</v>
      </c>
      <c r="I29" s="12" t="s">
        <v>49</v>
      </c>
      <c r="J29" s="24"/>
      <c r="K29" s="19"/>
      <c r="L29" s="16"/>
      <c r="N29" s="42" t="s">
        <v>132</v>
      </c>
      <c r="O29" s="12" t="s">
        <v>121</v>
      </c>
      <c r="P29" s="24">
        <v>30620.16</v>
      </c>
      <c r="Q29" s="19">
        <f>15310.08+14593.68</f>
        <v>29903.760000000002</v>
      </c>
      <c r="R29" s="16">
        <f t="shared" si="12"/>
        <v>716.39999999999782</v>
      </c>
    </row>
    <row r="30" spans="1:18" ht="18.75" x14ac:dyDescent="0.3">
      <c r="A30" s="42" t="s">
        <v>47</v>
      </c>
      <c r="B30" s="12" t="s">
        <v>50</v>
      </c>
      <c r="C30" s="24">
        <v>300</v>
      </c>
      <c r="D30" s="22">
        <f t="shared" si="0"/>
        <v>300</v>
      </c>
      <c r="E30" s="19">
        <v>280.86</v>
      </c>
      <c r="F30" s="16">
        <f t="shared" si="1"/>
        <v>19.139999999999986</v>
      </c>
      <c r="H30" s="42" t="s">
        <v>47</v>
      </c>
      <c r="I30" s="12" t="s">
        <v>50</v>
      </c>
      <c r="J30" s="24"/>
      <c r="K30" s="19"/>
      <c r="L30" s="16">
        <f t="shared" ref="L30:L33" si="13">J30-K30</f>
        <v>0</v>
      </c>
      <c r="N30" s="42" t="s">
        <v>133</v>
      </c>
      <c r="O30" s="12" t="s">
        <v>122</v>
      </c>
      <c r="P30" s="24">
        <v>41415.81</v>
      </c>
      <c r="Q30" s="19">
        <v>31993.41</v>
      </c>
      <c r="R30" s="16">
        <f t="shared" si="12"/>
        <v>9422.3999999999978</v>
      </c>
    </row>
    <row r="31" spans="1:18" ht="18.75" x14ac:dyDescent="0.3">
      <c r="A31" s="7" t="s">
        <v>48</v>
      </c>
      <c r="B31" s="12" t="s">
        <v>51</v>
      </c>
      <c r="C31" s="24"/>
      <c r="D31" s="22">
        <f t="shared" si="0"/>
        <v>0</v>
      </c>
      <c r="E31" s="19"/>
      <c r="F31" s="16">
        <f t="shared" si="1"/>
        <v>0</v>
      </c>
      <c r="H31" s="7" t="s">
        <v>48</v>
      </c>
      <c r="I31" s="12" t="s">
        <v>51</v>
      </c>
      <c r="J31" s="24"/>
      <c r="K31" s="19"/>
      <c r="L31" s="16">
        <f t="shared" si="13"/>
        <v>0</v>
      </c>
      <c r="N31" s="7" t="s">
        <v>48</v>
      </c>
      <c r="O31" s="12" t="s">
        <v>51</v>
      </c>
      <c r="P31" s="24"/>
      <c r="Q31" s="19"/>
      <c r="R31" s="16">
        <f t="shared" si="12"/>
        <v>0</v>
      </c>
    </row>
    <row r="32" spans="1:18" ht="18.75" x14ac:dyDescent="0.3">
      <c r="A32" s="7" t="s">
        <v>74</v>
      </c>
      <c r="B32" s="12" t="s">
        <v>72</v>
      </c>
      <c r="C32" s="24">
        <v>1200</v>
      </c>
      <c r="D32" s="22">
        <f t="shared" si="0"/>
        <v>1200</v>
      </c>
      <c r="E32" s="74"/>
      <c r="F32" s="7"/>
      <c r="H32" s="13" t="s">
        <v>56</v>
      </c>
      <c r="I32" s="12" t="s">
        <v>57</v>
      </c>
      <c r="J32" s="25">
        <f>7057+6650+4932</f>
        <v>18639</v>
      </c>
      <c r="K32" s="19"/>
      <c r="L32" s="16">
        <f>J32-K34</f>
        <v>4240</v>
      </c>
      <c r="N32" s="13" t="s">
        <v>56</v>
      </c>
      <c r="O32" s="12" t="s">
        <v>57</v>
      </c>
      <c r="P32" s="71">
        <f>88273.22+51909.65+25459.75</f>
        <v>165642.62</v>
      </c>
      <c r="Q32" s="19"/>
      <c r="R32" s="16">
        <f>P32-Q34</f>
        <v>1368.9499999999825</v>
      </c>
    </row>
    <row r="33" spans="1:18" ht="18.75" x14ac:dyDescent="0.3">
      <c r="A33" s="7" t="s">
        <v>75</v>
      </c>
      <c r="B33" s="12" t="s">
        <v>73</v>
      </c>
      <c r="C33" s="24">
        <v>3000</v>
      </c>
      <c r="D33" s="22">
        <f t="shared" si="0"/>
        <v>3000</v>
      </c>
      <c r="E33" s="75">
        <f>2630</f>
        <v>2630</v>
      </c>
      <c r="F33" s="7"/>
      <c r="J33" s="24"/>
      <c r="K33" s="19"/>
      <c r="L33" s="16">
        <f t="shared" si="13"/>
        <v>0</v>
      </c>
      <c r="P33" s="24"/>
      <c r="Q33" s="19"/>
      <c r="R33" s="16">
        <f t="shared" si="12"/>
        <v>0</v>
      </c>
    </row>
    <row r="34" spans="1:18" ht="18.75" x14ac:dyDescent="0.3">
      <c r="A34" s="13" t="s">
        <v>26</v>
      </c>
      <c r="B34" s="12" t="s">
        <v>27</v>
      </c>
      <c r="C34" s="25">
        <v>15985</v>
      </c>
      <c r="D34" s="22">
        <f t="shared" si="0"/>
        <v>15985</v>
      </c>
      <c r="E34" s="19"/>
      <c r="F34" s="16">
        <f t="shared" si="1"/>
        <v>15985</v>
      </c>
      <c r="I34" t="s">
        <v>28</v>
      </c>
      <c r="J34" s="26">
        <f>J32</f>
        <v>18639</v>
      </c>
      <c r="K34" s="55">
        <f>K6+K7+K13+K19+K30+K31</f>
        <v>14399</v>
      </c>
      <c r="L34" s="26">
        <f>J34-K34</f>
        <v>4240</v>
      </c>
      <c r="O34" t="s">
        <v>28</v>
      </c>
      <c r="P34" s="26">
        <f>180758.65</f>
        <v>180758.65</v>
      </c>
      <c r="Q34" s="55">
        <f>Q6+Q24+Q28+Q29+Q307+Q13+Q19+Q30+Q31</f>
        <v>164273.67000000001</v>
      </c>
      <c r="R34" s="26">
        <f>P34-Q34</f>
        <v>16484.979999999981</v>
      </c>
    </row>
    <row r="35" spans="1:18" ht="18.75" x14ac:dyDescent="0.3">
      <c r="C35" s="24"/>
      <c r="D35" s="24"/>
      <c r="E35" s="19"/>
      <c r="F35" s="16">
        <f t="shared" si="1"/>
        <v>0</v>
      </c>
      <c r="J35" s="50"/>
      <c r="K35" s="20"/>
      <c r="P35" s="50"/>
      <c r="Q35" s="20"/>
    </row>
    <row r="36" spans="1:18" ht="18.75" x14ac:dyDescent="0.3">
      <c r="B36" t="s">
        <v>28</v>
      </c>
      <c r="C36" s="26">
        <f>C6+C7+C13+C19+C30+C31+C32+C33</f>
        <v>871255.6</v>
      </c>
      <c r="D36" s="26">
        <f>D6+D7+D13+D19+D30+D31+D32+D33</f>
        <v>906093.19</v>
      </c>
      <c r="E36" s="55">
        <f>E6+E7+E13+E19+E30+E31+E33</f>
        <v>548198.18000000005</v>
      </c>
      <c r="F36" s="55">
        <f>F6+F7+F13+F19+F30+F31</f>
        <v>356325.01</v>
      </c>
      <c r="H36" s="1" t="s">
        <v>53</v>
      </c>
      <c r="J36" s="50"/>
      <c r="K36" s="56" t="s">
        <v>54</v>
      </c>
      <c r="N36" s="1" t="s">
        <v>53</v>
      </c>
      <c r="P36" s="50"/>
      <c r="Q36" s="56" t="s">
        <v>54</v>
      </c>
    </row>
    <row r="37" spans="1:18" ht="18" x14ac:dyDescent="0.25">
      <c r="C37" s="50"/>
      <c r="D37" s="50"/>
      <c r="E37" s="20"/>
      <c r="J37" s="50"/>
      <c r="K37" s="20"/>
      <c r="P37" s="50"/>
      <c r="Q37" s="20"/>
    </row>
    <row r="38" spans="1:18" s="28" customFormat="1" ht="18.75" x14ac:dyDescent="0.3">
      <c r="A38" s="1" t="s">
        <v>53</v>
      </c>
      <c r="B38"/>
      <c r="C38" s="50"/>
      <c r="D38" s="50"/>
      <c r="E38" s="56" t="s">
        <v>54</v>
      </c>
      <c r="F38"/>
      <c r="K38" s="29"/>
      <c r="Q38" s="29"/>
    </row>
    <row r="39" spans="1:18" s="28" customFormat="1" ht="21" x14ac:dyDescent="0.35">
      <c r="A39"/>
      <c r="B39"/>
      <c r="C39" s="50"/>
      <c r="D39" s="50"/>
      <c r="E39" s="20"/>
      <c r="F39"/>
      <c r="H39" s="92"/>
      <c r="I39" s="92"/>
      <c r="J39" s="30"/>
      <c r="K39" s="31"/>
      <c r="L39" s="32"/>
      <c r="N39" s="92"/>
      <c r="O39" s="92"/>
      <c r="P39" s="30"/>
      <c r="Q39" s="31"/>
      <c r="R39" s="32"/>
    </row>
    <row r="40" spans="1:18" s="28" customFormat="1" ht="18" x14ac:dyDescent="0.25">
      <c r="E40" s="29"/>
      <c r="I40" s="27"/>
      <c r="J40" s="33"/>
      <c r="K40" s="34"/>
      <c r="L40" s="35"/>
      <c r="O40" s="27"/>
      <c r="P40" s="33"/>
      <c r="Q40" s="34"/>
      <c r="R40" s="35"/>
    </row>
    <row r="41" spans="1:18" s="28" customFormat="1" ht="21" x14ac:dyDescent="0.35">
      <c r="A41" s="92"/>
      <c r="B41" s="92"/>
      <c r="C41" s="30">
        <f>C34-809.76</f>
        <v>15175.24</v>
      </c>
      <c r="D41" s="30"/>
      <c r="E41" s="31"/>
      <c r="F41" s="32"/>
      <c r="I41" s="27"/>
      <c r="J41" s="36"/>
      <c r="K41" s="37"/>
      <c r="L41" s="35"/>
      <c r="O41" s="27"/>
      <c r="P41" s="36"/>
      <c r="Q41" s="37"/>
      <c r="R41" s="35"/>
    </row>
    <row r="42" spans="1:18" s="28" customFormat="1" ht="18" x14ac:dyDescent="0.25">
      <c r="B42" s="27"/>
      <c r="C42" s="33"/>
      <c r="D42" s="33" t="s">
        <v>139</v>
      </c>
      <c r="E42" s="34"/>
      <c r="F42" s="35"/>
      <c r="I42" s="27"/>
      <c r="J42" s="36"/>
      <c r="K42" s="37"/>
      <c r="L42" s="35"/>
      <c r="O42" s="27"/>
      <c r="P42" s="36"/>
      <c r="Q42" s="37"/>
      <c r="R42" s="35"/>
    </row>
    <row r="43" spans="1:18" s="28" customFormat="1" ht="18" x14ac:dyDescent="0.25">
      <c r="B43" s="27"/>
      <c r="C43" s="36"/>
      <c r="D43" s="36"/>
      <c r="E43" s="37"/>
      <c r="F43" s="35"/>
      <c r="I43" s="27"/>
      <c r="J43" s="36"/>
      <c r="K43" s="37"/>
      <c r="L43" s="35"/>
      <c r="O43" s="27"/>
      <c r="P43" s="36"/>
      <c r="Q43" s="37"/>
      <c r="R43" s="35"/>
    </row>
    <row r="44" spans="1:18" s="28" customFormat="1" ht="18" x14ac:dyDescent="0.25">
      <c r="B44" s="27"/>
      <c r="C44" s="36"/>
      <c r="D44" s="36"/>
      <c r="E44" s="37"/>
      <c r="F44" s="35"/>
      <c r="I44" s="27"/>
      <c r="J44" s="36"/>
      <c r="K44" s="37"/>
      <c r="L44" s="35"/>
      <c r="O44" s="27"/>
      <c r="P44" s="36"/>
      <c r="Q44" s="37"/>
      <c r="R44" s="35"/>
    </row>
    <row r="45" spans="1:18" s="28" customFormat="1" ht="18" x14ac:dyDescent="0.25">
      <c r="B45" s="27"/>
      <c r="C45" s="36"/>
      <c r="D45" s="36"/>
      <c r="E45" s="37"/>
      <c r="F45" s="35"/>
      <c r="I45" s="27"/>
      <c r="J45" s="36"/>
      <c r="K45" s="37"/>
      <c r="L45" s="35"/>
      <c r="O45" s="27"/>
      <c r="P45" s="36"/>
      <c r="Q45" s="37"/>
      <c r="R45" s="35"/>
    </row>
    <row r="46" spans="1:18" s="28" customFormat="1" ht="18" x14ac:dyDescent="0.25">
      <c r="B46" s="27"/>
      <c r="C46" s="36"/>
      <c r="D46" s="36"/>
      <c r="E46" s="37"/>
      <c r="F46" s="35"/>
      <c r="I46" s="27"/>
      <c r="J46" s="36"/>
      <c r="K46" s="37"/>
      <c r="L46" s="35"/>
      <c r="O46" s="27"/>
      <c r="P46" s="36"/>
      <c r="Q46" s="37"/>
      <c r="R46" s="35"/>
    </row>
    <row r="47" spans="1:18" s="28" customFormat="1" ht="18" x14ac:dyDescent="0.25">
      <c r="B47" s="27"/>
      <c r="C47" s="36"/>
      <c r="D47" s="36"/>
      <c r="E47" s="37"/>
      <c r="F47" s="35"/>
      <c r="I47" s="27"/>
      <c r="J47" s="36"/>
      <c r="K47" s="37"/>
      <c r="L47" s="35"/>
      <c r="O47" s="27"/>
      <c r="P47" s="36"/>
      <c r="Q47" s="37"/>
      <c r="R47" s="35"/>
    </row>
    <row r="48" spans="1:18" s="28" customFormat="1" ht="18" x14ac:dyDescent="0.25">
      <c r="B48" s="27"/>
      <c r="C48" s="36"/>
      <c r="D48" s="36"/>
      <c r="E48" s="37"/>
      <c r="F48" s="35"/>
      <c r="I48" s="27"/>
      <c r="J48" s="36"/>
      <c r="K48" s="37"/>
      <c r="L48" s="35"/>
      <c r="O48" s="27"/>
      <c r="P48" s="36"/>
      <c r="Q48" s="37"/>
      <c r="R48" s="35"/>
    </row>
    <row r="49" spans="1:18" s="28" customFormat="1" ht="18" x14ac:dyDescent="0.25">
      <c r="B49" s="27"/>
      <c r="C49" s="36"/>
      <c r="D49" s="36"/>
      <c r="E49" s="37"/>
      <c r="F49" s="35"/>
      <c r="I49" s="27"/>
      <c r="J49" s="36"/>
      <c r="K49" s="37"/>
      <c r="L49" s="35"/>
      <c r="O49" s="27"/>
      <c r="P49" s="36"/>
      <c r="Q49" s="37"/>
      <c r="R49" s="35"/>
    </row>
    <row r="50" spans="1:18" s="28" customFormat="1" ht="18" x14ac:dyDescent="0.25">
      <c r="B50" s="27"/>
      <c r="C50" s="36"/>
      <c r="D50" s="36"/>
      <c r="E50" s="37"/>
      <c r="F50" s="35"/>
      <c r="I50" s="27"/>
      <c r="J50" s="36"/>
      <c r="K50" s="37"/>
      <c r="L50" s="35"/>
      <c r="O50" s="27"/>
      <c r="P50" s="36"/>
      <c r="Q50" s="37"/>
      <c r="R50" s="35"/>
    </row>
    <row r="51" spans="1:18" s="28" customFormat="1" ht="18" x14ac:dyDescent="0.25">
      <c r="B51" s="27"/>
      <c r="C51" s="36"/>
      <c r="D51" s="36"/>
      <c r="E51" s="37"/>
      <c r="F51" s="35"/>
      <c r="I51" s="27"/>
      <c r="J51" s="36"/>
      <c r="K51" s="37"/>
      <c r="L51" s="35"/>
      <c r="O51" s="27"/>
      <c r="P51" s="36"/>
      <c r="Q51" s="37"/>
      <c r="R51" s="35"/>
    </row>
    <row r="52" spans="1:18" s="28" customFormat="1" ht="18" x14ac:dyDescent="0.25">
      <c r="B52" s="27"/>
      <c r="C52" s="36"/>
      <c r="D52" s="36"/>
      <c r="E52" s="37"/>
      <c r="F52" s="35"/>
      <c r="I52" s="27"/>
      <c r="J52" s="36"/>
      <c r="K52" s="37"/>
      <c r="L52" s="35"/>
      <c r="O52" s="27"/>
      <c r="P52" s="36"/>
      <c r="Q52" s="37"/>
      <c r="R52" s="35"/>
    </row>
    <row r="53" spans="1:18" s="28" customFormat="1" ht="18" x14ac:dyDescent="0.25">
      <c r="B53" s="27"/>
      <c r="C53" s="36"/>
      <c r="D53" s="36"/>
      <c r="E53" s="37"/>
      <c r="F53" s="35"/>
      <c r="J53" s="33"/>
      <c r="K53" s="34"/>
      <c r="L53" s="35"/>
      <c r="P53" s="33"/>
      <c r="Q53" s="34"/>
      <c r="R53" s="35"/>
    </row>
    <row r="54" spans="1:18" s="28" customFormat="1" ht="18" x14ac:dyDescent="0.25">
      <c r="B54" s="27"/>
      <c r="C54" s="36"/>
      <c r="D54" s="36"/>
      <c r="E54" s="37"/>
      <c r="F54" s="35"/>
      <c r="J54" s="35"/>
      <c r="K54" s="34"/>
      <c r="L54" s="35"/>
      <c r="P54" s="35"/>
      <c r="Q54" s="34"/>
      <c r="R54" s="35"/>
    </row>
    <row r="55" spans="1:18" s="28" customFormat="1" ht="18" x14ac:dyDescent="0.25">
      <c r="C55" s="33"/>
      <c r="D55" s="33"/>
      <c r="E55" s="34"/>
      <c r="F55" s="35"/>
      <c r="J55" s="35"/>
      <c r="K55" s="34"/>
      <c r="L55" s="35"/>
      <c r="P55" s="35"/>
      <c r="Q55" s="34"/>
      <c r="R55" s="35"/>
    </row>
    <row r="56" spans="1:18" s="28" customFormat="1" ht="18" x14ac:dyDescent="0.25">
      <c r="C56" s="35"/>
      <c r="D56" s="35"/>
      <c r="E56" s="34"/>
      <c r="F56" s="35"/>
      <c r="H56" s="39"/>
      <c r="J56" s="40"/>
      <c r="K56" s="27"/>
      <c r="N56" s="39"/>
      <c r="P56" s="40"/>
      <c r="Q56" s="27"/>
    </row>
    <row r="57" spans="1:18" s="28" customFormat="1" ht="18" x14ac:dyDescent="0.25">
      <c r="C57" s="35"/>
      <c r="D57" s="35"/>
      <c r="E57" s="34"/>
      <c r="F57" s="35"/>
      <c r="J57" s="41"/>
      <c r="K57" s="41"/>
      <c r="P57" s="41"/>
      <c r="Q57" s="41"/>
    </row>
    <row r="58" spans="1:18" s="28" customFormat="1" ht="18" x14ac:dyDescent="0.25">
      <c r="A58" s="39"/>
      <c r="C58" s="40"/>
      <c r="D58" s="40"/>
      <c r="E58" s="27"/>
      <c r="H58" s="38"/>
      <c r="I58" s="27"/>
      <c r="J58" s="27"/>
      <c r="K58" s="27"/>
      <c r="N58" s="38"/>
      <c r="O58" s="27"/>
      <c r="P58" s="27"/>
      <c r="Q58" s="27"/>
    </row>
    <row r="59" spans="1:18" s="28" customFormat="1" ht="18" x14ac:dyDescent="0.25">
      <c r="C59" s="41"/>
      <c r="D59" s="41"/>
      <c r="E59" s="41"/>
      <c r="I59" s="27"/>
      <c r="J59" s="27"/>
      <c r="K59" s="27"/>
      <c r="O59" s="27"/>
      <c r="P59" s="27"/>
      <c r="Q59" s="27"/>
    </row>
    <row r="60" spans="1:18" s="28" customFormat="1" ht="18" x14ac:dyDescent="0.25">
      <c r="A60" s="38"/>
      <c r="B60" s="27"/>
      <c r="C60" s="27"/>
      <c r="D60" s="27"/>
      <c r="E60" s="27"/>
      <c r="I60" s="27"/>
      <c r="J60" s="27"/>
      <c r="K60" s="27"/>
      <c r="O60" s="27"/>
      <c r="P60" s="27"/>
      <c r="Q60" s="27"/>
    </row>
    <row r="61" spans="1:18" s="28" customFormat="1" ht="18" x14ac:dyDescent="0.25">
      <c r="B61" s="27"/>
      <c r="C61" s="27"/>
      <c r="D61" s="27"/>
      <c r="E61" s="27"/>
      <c r="H61" s="38"/>
      <c r="I61" s="27"/>
      <c r="J61" s="27"/>
      <c r="K61" s="27"/>
      <c r="N61" s="38"/>
      <c r="O61" s="27"/>
      <c r="P61" s="27"/>
      <c r="Q61" s="27"/>
    </row>
    <row r="62" spans="1:18" s="28" customFormat="1" ht="18" x14ac:dyDescent="0.25">
      <c r="B62" s="27"/>
      <c r="C62" s="27"/>
      <c r="D62" s="27"/>
      <c r="E62" s="27"/>
      <c r="H62" s="38"/>
      <c r="I62" s="27"/>
      <c r="J62" s="27"/>
      <c r="K62" s="27"/>
      <c r="N62" s="38"/>
      <c r="O62" s="27"/>
      <c r="P62" s="27"/>
      <c r="Q62" s="27"/>
    </row>
    <row r="63" spans="1:18" s="28" customFormat="1" ht="18" x14ac:dyDescent="0.25">
      <c r="A63" s="38"/>
      <c r="B63" s="27"/>
      <c r="C63" s="27"/>
      <c r="D63" s="27"/>
      <c r="E63" s="27"/>
      <c r="H63" s="38"/>
      <c r="I63" s="27"/>
      <c r="J63" s="27"/>
      <c r="K63" s="27"/>
      <c r="N63" s="38"/>
      <c r="O63" s="27"/>
      <c r="P63" s="27"/>
      <c r="Q63" s="27"/>
    </row>
    <row r="64" spans="1:18" s="28" customFormat="1" ht="18" x14ac:dyDescent="0.25">
      <c r="A64" s="38"/>
      <c r="B64" s="27"/>
      <c r="C64" s="27"/>
      <c r="D64" s="27"/>
      <c r="E64" s="27"/>
      <c r="H64" s="38"/>
      <c r="I64" s="27"/>
      <c r="J64" s="27"/>
      <c r="K64" s="27"/>
      <c r="N64" s="38"/>
      <c r="O64" s="27"/>
      <c r="P64" s="27"/>
      <c r="Q64" s="27"/>
    </row>
    <row r="65" spans="1:6" s="28" customFormat="1" ht="18" x14ac:dyDescent="0.25">
      <c r="A65" s="38"/>
      <c r="B65" s="27"/>
      <c r="C65" s="27"/>
      <c r="D65" s="27"/>
      <c r="E65" s="27"/>
    </row>
    <row r="66" spans="1:6" ht="18" x14ac:dyDescent="0.25">
      <c r="A66" s="38"/>
      <c r="B66" s="27"/>
      <c r="C66" s="27"/>
      <c r="D66" s="27"/>
      <c r="E66" s="27"/>
      <c r="F66" s="28"/>
    </row>
    <row r="67" spans="1:6" x14ac:dyDescent="0.25">
      <c r="A67" s="28"/>
      <c r="B67" s="28"/>
      <c r="C67" s="28"/>
      <c r="D67" s="28"/>
      <c r="E67" s="28"/>
      <c r="F67" s="28"/>
    </row>
  </sheetData>
  <mergeCells count="9">
    <mergeCell ref="N5:O5"/>
    <mergeCell ref="N6:N7"/>
    <mergeCell ref="N39:O39"/>
    <mergeCell ref="A41:B41"/>
    <mergeCell ref="A5:B5"/>
    <mergeCell ref="H5:I5"/>
    <mergeCell ref="A6:A7"/>
    <mergeCell ref="H6:H7"/>
    <mergeCell ref="H39:I39"/>
  </mergeCells>
  <pageMargins left="0.7" right="0.7" top="0.75" bottom="0.75" header="0.3" footer="0.3"/>
  <pageSetup paperSize="9" scale="89" orientation="portrait" r:id="rId1"/>
  <colBreaks count="1" manualBreakCount="1">
    <brk id="6" max="1048575" man="1"/>
  </colBreaks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topLeftCell="A13" zoomScaleNormal="100" workbookViewId="0">
      <selection activeCell="D26" sqref="D26"/>
    </sheetView>
  </sheetViews>
  <sheetFormatPr defaultRowHeight="15" x14ac:dyDescent="0.25"/>
  <cols>
    <col min="1" max="1" width="27.5703125" customWidth="1"/>
    <col min="2" max="2" width="11.42578125" customWidth="1"/>
    <col min="3" max="3" width="13.140625" customWidth="1"/>
    <col min="4" max="4" width="14.42578125" customWidth="1"/>
    <col min="5" max="5" width="15" customWidth="1"/>
    <col min="6" max="6" width="16" customWidth="1"/>
    <col min="7" max="7" width="7.7109375" customWidth="1"/>
    <col min="8" max="8" width="28.85546875" customWidth="1"/>
    <col min="9" max="9" width="11.42578125" customWidth="1"/>
    <col min="10" max="10" width="14.28515625" customWidth="1"/>
    <col min="11" max="11" width="15" customWidth="1"/>
    <col min="12" max="12" width="14.5703125" customWidth="1"/>
    <col min="14" max="14" width="28.85546875" customWidth="1"/>
    <col min="15" max="15" width="11.42578125" customWidth="1"/>
    <col min="16" max="16" width="16.28515625" customWidth="1"/>
    <col min="17" max="17" width="15" customWidth="1"/>
    <col min="18" max="18" width="14.5703125" customWidth="1"/>
  </cols>
  <sheetData>
    <row r="1" spans="1:18" ht="18.75" x14ac:dyDescent="0.3">
      <c r="B1" s="1" t="s">
        <v>61</v>
      </c>
      <c r="C1" s="1"/>
      <c r="D1" s="1"/>
      <c r="E1" s="1"/>
      <c r="I1" s="1" t="s">
        <v>55</v>
      </c>
      <c r="K1" s="1"/>
      <c r="O1" s="1" t="s">
        <v>119</v>
      </c>
      <c r="Q1" s="1"/>
    </row>
    <row r="2" spans="1:18" ht="18.75" x14ac:dyDescent="0.3">
      <c r="B2" s="1" t="s">
        <v>52</v>
      </c>
      <c r="C2" s="1"/>
      <c r="D2" s="1"/>
      <c r="E2" s="1"/>
      <c r="I2" s="1" t="s">
        <v>52</v>
      </c>
      <c r="K2" s="1"/>
      <c r="O2" s="1" t="s">
        <v>52</v>
      </c>
      <c r="Q2" s="1"/>
    </row>
    <row r="3" spans="1:18" ht="18.75" x14ac:dyDescent="0.3">
      <c r="B3" s="1"/>
      <c r="C3" s="1"/>
      <c r="D3" s="1"/>
      <c r="E3" s="1"/>
      <c r="I3" s="1"/>
      <c r="J3" s="1"/>
      <c r="K3" s="1"/>
      <c r="O3" s="1"/>
      <c r="P3" s="1"/>
      <c r="Q3" s="1"/>
    </row>
    <row r="4" spans="1:18" ht="19.5" thickBot="1" x14ac:dyDescent="0.35">
      <c r="F4" s="1"/>
      <c r="L4" s="1"/>
      <c r="R4" s="1"/>
    </row>
    <row r="5" spans="1:18" ht="63.75" thickBot="1" x14ac:dyDescent="0.4">
      <c r="A5" s="88" t="s">
        <v>62</v>
      </c>
      <c r="B5" s="89"/>
      <c r="C5" s="8" t="s">
        <v>58</v>
      </c>
      <c r="D5" s="8" t="s">
        <v>60</v>
      </c>
      <c r="E5" s="58" t="s">
        <v>134</v>
      </c>
      <c r="F5" s="10" t="s">
        <v>39</v>
      </c>
      <c r="H5" s="88" t="s">
        <v>43</v>
      </c>
      <c r="I5" s="89"/>
      <c r="J5" s="8" t="s">
        <v>117</v>
      </c>
      <c r="K5" s="58" t="s">
        <v>134</v>
      </c>
      <c r="L5" s="10" t="s">
        <v>39</v>
      </c>
      <c r="N5" s="88" t="s">
        <v>43</v>
      </c>
      <c r="O5" s="89"/>
      <c r="P5" s="8" t="s">
        <v>117</v>
      </c>
      <c r="Q5" s="58" t="s">
        <v>134</v>
      </c>
      <c r="R5" s="10" t="s">
        <v>39</v>
      </c>
    </row>
    <row r="6" spans="1:18" ht="18.75" x14ac:dyDescent="0.3">
      <c r="A6" s="90" t="s">
        <v>0</v>
      </c>
      <c r="B6" s="11" t="s">
        <v>1</v>
      </c>
      <c r="C6" s="22">
        <v>590000</v>
      </c>
      <c r="D6" s="22">
        <f>C6+10000</f>
        <v>600000</v>
      </c>
      <c r="E6" s="18">
        <f>39656.85+40295.33+44324.47+50538.33+56592.72+46702.05+43881.77+54648.97+60845.76</f>
        <v>437486.25</v>
      </c>
      <c r="F6" s="14">
        <f>D6-E6</f>
        <v>162513.75</v>
      </c>
      <c r="H6" s="90" t="s">
        <v>0</v>
      </c>
      <c r="I6" s="11" t="s">
        <v>1</v>
      </c>
      <c r="J6" s="22"/>
      <c r="K6" s="18">
        <f>8838.8+1261.5</f>
        <v>10100.299999999999</v>
      </c>
      <c r="L6" s="14">
        <f>J6-K6</f>
        <v>-10100.299999999999</v>
      </c>
      <c r="N6" s="90" t="s">
        <v>0</v>
      </c>
      <c r="O6" s="11" t="s">
        <v>1</v>
      </c>
      <c r="P6" s="22"/>
      <c r="Q6" s="18"/>
      <c r="R6" s="14">
        <f>P6-Q6</f>
        <v>0</v>
      </c>
    </row>
    <row r="7" spans="1:18" ht="18.75" x14ac:dyDescent="0.3">
      <c r="A7" s="91"/>
      <c r="B7" s="3" t="s">
        <v>2</v>
      </c>
      <c r="C7" s="23">
        <f>SUM(C8:C11)</f>
        <v>28000</v>
      </c>
      <c r="D7" s="22">
        <f t="shared" ref="D7:D34" si="0">C7</f>
        <v>28000</v>
      </c>
      <c r="E7" s="17">
        <f>SUM(E8:E11)</f>
        <v>12052.81</v>
      </c>
      <c r="F7" s="15">
        <f t="shared" ref="F7:F35" si="1">D7-E7</f>
        <v>15947.19</v>
      </c>
      <c r="H7" s="91"/>
      <c r="I7" s="3" t="s">
        <v>2</v>
      </c>
      <c r="J7" s="23"/>
      <c r="K7" s="17"/>
      <c r="L7" s="15">
        <f t="shared" ref="L7:L11" si="2">J7-K7</f>
        <v>0</v>
      </c>
      <c r="N7" s="91"/>
      <c r="O7" s="3" t="s">
        <v>2</v>
      </c>
      <c r="P7" s="23"/>
      <c r="Q7" s="17"/>
      <c r="R7" s="15">
        <f t="shared" ref="R7:R11" si="3">P7-Q7</f>
        <v>0</v>
      </c>
    </row>
    <row r="8" spans="1:18" ht="18.75" x14ac:dyDescent="0.3">
      <c r="A8" s="7" t="s">
        <v>3</v>
      </c>
      <c r="B8" s="4" t="s">
        <v>4</v>
      </c>
      <c r="C8" s="24">
        <v>5000</v>
      </c>
      <c r="D8" s="22">
        <f t="shared" si="0"/>
        <v>5000</v>
      </c>
      <c r="E8" s="19">
        <f>750+925+1075+1000+500</f>
        <v>4250</v>
      </c>
      <c r="F8" s="16">
        <f t="shared" si="1"/>
        <v>750</v>
      </c>
      <c r="H8" s="7" t="s">
        <v>3</v>
      </c>
      <c r="I8" s="4" t="s">
        <v>4</v>
      </c>
      <c r="J8" s="24"/>
      <c r="K8" s="19"/>
      <c r="L8" s="16">
        <f t="shared" si="2"/>
        <v>0</v>
      </c>
      <c r="N8" s="7" t="s">
        <v>3</v>
      </c>
      <c r="O8" s="4" t="s">
        <v>4</v>
      </c>
      <c r="P8" s="24"/>
      <c r="Q8" s="19"/>
      <c r="R8" s="16">
        <f t="shared" si="3"/>
        <v>0</v>
      </c>
    </row>
    <row r="9" spans="1:18" ht="18.75" x14ac:dyDescent="0.3">
      <c r="A9" s="7" t="s">
        <v>5</v>
      </c>
      <c r="B9" s="4" t="s">
        <v>6</v>
      </c>
      <c r="C9" s="24">
        <v>20000</v>
      </c>
      <c r="D9" s="22">
        <f t="shared" si="0"/>
        <v>20000</v>
      </c>
      <c r="E9" s="19">
        <f>750.22+723.76+723.76+723.76+723.76+763.15+823.15+823.15+823.15</f>
        <v>6877.8599999999988</v>
      </c>
      <c r="F9" s="16">
        <f t="shared" si="1"/>
        <v>13122.140000000001</v>
      </c>
      <c r="H9" s="7" t="s">
        <v>5</v>
      </c>
      <c r="I9" s="4" t="s">
        <v>6</v>
      </c>
      <c r="J9" s="24"/>
      <c r="K9" s="19"/>
      <c r="L9" s="16">
        <f t="shared" si="2"/>
        <v>0</v>
      </c>
      <c r="N9" s="7" t="s">
        <v>5</v>
      </c>
      <c r="O9" s="4" t="s">
        <v>6</v>
      </c>
      <c r="P9" s="24"/>
      <c r="Q9" s="19"/>
      <c r="R9" s="16">
        <f t="shared" si="3"/>
        <v>0</v>
      </c>
    </row>
    <row r="10" spans="1:18" ht="18.75" x14ac:dyDescent="0.3">
      <c r="A10" s="7" t="s">
        <v>7</v>
      </c>
      <c r="B10" s="4" t="s">
        <v>8</v>
      </c>
      <c r="C10" s="21"/>
      <c r="D10" s="22">
        <f t="shared" si="0"/>
        <v>0</v>
      </c>
      <c r="E10" s="19"/>
      <c r="F10" s="16">
        <f t="shared" si="1"/>
        <v>0</v>
      </c>
      <c r="H10" s="7" t="s">
        <v>7</v>
      </c>
      <c r="I10" s="4" t="s">
        <v>8</v>
      </c>
      <c r="J10" s="21"/>
      <c r="K10" s="19"/>
      <c r="L10" s="16">
        <f t="shared" si="2"/>
        <v>0</v>
      </c>
      <c r="N10" s="7" t="s">
        <v>7</v>
      </c>
      <c r="O10" s="4" t="s">
        <v>8</v>
      </c>
      <c r="P10" s="21"/>
      <c r="Q10" s="19"/>
      <c r="R10" s="16">
        <f t="shared" si="3"/>
        <v>0</v>
      </c>
    </row>
    <row r="11" spans="1:18" ht="18.75" x14ac:dyDescent="0.3">
      <c r="A11" s="7" t="s">
        <v>9</v>
      </c>
      <c r="B11" s="4" t="s">
        <v>10</v>
      </c>
      <c r="C11" s="24">
        <v>3000</v>
      </c>
      <c r="D11" s="22">
        <f t="shared" si="0"/>
        <v>3000</v>
      </c>
      <c r="E11" s="19">
        <f>317.08+153.39+267.14+187.34</f>
        <v>924.94999999999993</v>
      </c>
      <c r="F11" s="16">
        <f t="shared" si="1"/>
        <v>2075.0500000000002</v>
      </c>
      <c r="H11" s="7" t="s">
        <v>9</v>
      </c>
      <c r="I11" s="4" t="s">
        <v>10</v>
      </c>
      <c r="J11" s="24"/>
      <c r="K11" s="19"/>
      <c r="L11" s="16">
        <f t="shared" si="2"/>
        <v>0</v>
      </c>
      <c r="N11" s="7" t="s">
        <v>9</v>
      </c>
      <c r="O11" s="4" t="s">
        <v>10</v>
      </c>
      <c r="P11" s="24"/>
      <c r="Q11" s="19"/>
      <c r="R11" s="16">
        <f t="shared" si="3"/>
        <v>0</v>
      </c>
    </row>
    <row r="12" spans="1:18" ht="18.75" x14ac:dyDescent="0.3">
      <c r="A12" s="7"/>
      <c r="B12" s="4"/>
      <c r="C12" s="24"/>
      <c r="D12" s="22">
        <f t="shared" si="0"/>
        <v>0</v>
      </c>
      <c r="E12" s="19"/>
      <c r="F12" s="16"/>
      <c r="H12" s="7"/>
      <c r="I12" s="4"/>
      <c r="J12" s="24"/>
      <c r="K12" s="19"/>
      <c r="L12" s="16"/>
      <c r="N12" s="7"/>
      <c r="O12" s="4"/>
      <c r="P12" s="24"/>
      <c r="Q12" s="19"/>
      <c r="R12" s="16"/>
    </row>
    <row r="13" spans="1:18" ht="18.75" x14ac:dyDescent="0.3">
      <c r="A13" s="7" t="s">
        <v>11</v>
      </c>
      <c r="B13" s="3" t="s">
        <v>12</v>
      </c>
      <c r="C13" s="23">
        <f>SUM(C14:C17)</f>
        <v>144117.59999999998</v>
      </c>
      <c r="D13" s="22">
        <f>D14+D15+D16+D17</f>
        <v>146449.59999999998</v>
      </c>
      <c r="E13" s="23">
        <f>SUM(E14:E17)</f>
        <v>99212.400000000009</v>
      </c>
      <c r="F13" s="15">
        <f>D13-E13</f>
        <v>47237.199999999968</v>
      </c>
      <c r="H13" s="7" t="s">
        <v>11</v>
      </c>
      <c r="I13" s="3" t="s">
        <v>12</v>
      </c>
      <c r="J13" s="23"/>
      <c r="K13" s="23">
        <f>K14+K15+K16+K17</f>
        <v>2338.6999999999998</v>
      </c>
      <c r="L13" s="15">
        <f>J13-K13</f>
        <v>-2338.6999999999998</v>
      </c>
      <c r="N13" s="7" t="s">
        <v>11</v>
      </c>
      <c r="O13" s="3" t="s">
        <v>12</v>
      </c>
      <c r="P13" s="23"/>
      <c r="Q13" s="23"/>
      <c r="R13" s="15">
        <f>P13-Q13</f>
        <v>0</v>
      </c>
    </row>
    <row r="14" spans="1:18" ht="18.75" x14ac:dyDescent="0.3">
      <c r="A14" s="7" t="s">
        <v>13</v>
      </c>
      <c r="B14" s="4" t="s">
        <v>14</v>
      </c>
      <c r="C14" s="24">
        <f>(C6+C7)*11.42%</f>
        <v>70575.599999999991</v>
      </c>
      <c r="D14" s="22">
        <f>C14+1142</f>
        <v>71717.599999999991</v>
      </c>
      <c r="E14" s="19">
        <f>4773.81+4821.94+5289.16+6088.51+6339.55+5158.35+5203.75+6491.47+6750.75</f>
        <v>50917.29</v>
      </c>
      <c r="F14" s="16">
        <f>D14-E14</f>
        <v>20800.30999999999</v>
      </c>
      <c r="H14" s="7" t="s">
        <v>13</v>
      </c>
      <c r="I14" s="4" t="s">
        <v>14</v>
      </c>
      <c r="J14" s="24"/>
      <c r="K14" s="19">
        <f>1009.4+144.07</f>
        <v>1153.47</v>
      </c>
      <c r="L14" s="16">
        <f>J14-K14</f>
        <v>-1153.47</v>
      </c>
      <c r="N14" s="7" t="s">
        <v>13</v>
      </c>
      <c r="O14" s="4" t="s">
        <v>14</v>
      </c>
      <c r="P14" s="24"/>
      <c r="Q14" s="19"/>
      <c r="R14" s="16">
        <f>P14-Q14</f>
        <v>0</v>
      </c>
    </row>
    <row r="15" spans="1:18" ht="18.75" x14ac:dyDescent="0.3">
      <c r="A15" s="7" t="s">
        <v>15</v>
      </c>
      <c r="B15" s="4" t="s">
        <v>16</v>
      </c>
      <c r="C15" s="24">
        <f>(C6+C7)*4.3%</f>
        <v>26573.999999999996</v>
      </c>
      <c r="D15" s="22">
        <f>C15+430</f>
        <v>27003.999999999996</v>
      </c>
      <c r="E15" s="19">
        <f>1561.59+1620.97+1768.38+1992.04+2105.28+1753.34+1759.8+2148.72+2243.03</f>
        <v>16953.149999999998</v>
      </c>
      <c r="F15" s="16">
        <f>D15-E15</f>
        <v>10050.849999999999</v>
      </c>
      <c r="H15" s="7" t="s">
        <v>15</v>
      </c>
      <c r="I15" s="4" t="s">
        <v>16</v>
      </c>
      <c r="J15" s="24"/>
      <c r="K15" s="19">
        <f>380.04+35.32</f>
        <v>415.36</v>
      </c>
      <c r="L15" s="16">
        <f>J15-K15</f>
        <v>-415.36</v>
      </c>
      <c r="N15" s="7" t="s">
        <v>15</v>
      </c>
      <c r="O15" s="4" t="s">
        <v>16</v>
      </c>
      <c r="P15" s="24"/>
      <c r="Q15" s="19"/>
      <c r="R15" s="16">
        <f>P15-Q15</f>
        <v>0</v>
      </c>
    </row>
    <row r="16" spans="1:18" ht="18.75" x14ac:dyDescent="0.3">
      <c r="A16" s="7" t="s">
        <v>17</v>
      </c>
      <c r="B16" s="4" t="s">
        <v>18</v>
      </c>
      <c r="C16" s="24">
        <f>(C6+C7)*4.8%</f>
        <v>29664</v>
      </c>
      <c r="D16" s="22">
        <f>C16+480</f>
        <v>30144</v>
      </c>
      <c r="E16" s="19">
        <f>2022.39+2016.88+2200.55+2549.61+2667.8+2131.66+2140.16+2633.45+2743.33</f>
        <v>21105.83</v>
      </c>
      <c r="F16" s="16">
        <f t="shared" ref="F16:F17" si="4">D16-E16</f>
        <v>9038.1699999999983</v>
      </c>
      <c r="H16" s="7" t="s">
        <v>17</v>
      </c>
      <c r="I16" s="4" t="s">
        <v>18</v>
      </c>
      <c r="J16" s="24"/>
      <c r="K16" s="19">
        <f>424.26+60.55</f>
        <v>484.81</v>
      </c>
      <c r="L16" s="16">
        <f t="shared" ref="L16:L17" si="5">J16-K16</f>
        <v>-484.81</v>
      </c>
      <c r="N16" s="7" t="s">
        <v>17</v>
      </c>
      <c r="O16" s="4" t="s">
        <v>18</v>
      </c>
      <c r="P16" s="24"/>
      <c r="Q16" s="19"/>
      <c r="R16" s="16">
        <f t="shared" ref="R16:R17" si="6">P16-Q16</f>
        <v>0</v>
      </c>
    </row>
    <row r="17" spans="1:18" ht="18.75" x14ac:dyDescent="0.3">
      <c r="A17" s="7" t="s">
        <v>19</v>
      </c>
      <c r="B17" s="4" t="s">
        <v>20</v>
      </c>
      <c r="C17" s="24">
        <f>(C6+C7)*2.8%</f>
        <v>17304</v>
      </c>
      <c r="D17" s="22">
        <f>C17+280</f>
        <v>17584</v>
      </c>
      <c r="E17" s="19">
        <f>958.22+974.01+1064.15+1235.05+1273.58+1003.49+1040.96+1310.11+1376.56</f>
        <v>10236.129999999999</v>
      </c>
      <c r="F17" s="16">
        <f t="shared" si="4"/>
        <v>7347.8700000000008</v>
      </c>
      <c r="H17" s="7" t="s">
        <v>19</v>
      </c>
      <c r="I17" s="4" t="s">
        <v>20</v>
      </c>
      <c r="J17" s="24"/>
      <c r="K17" s="19">
        <f>247.5+37.56</f>
        <v>285.06</v>
      </c>
      <c r="L17" s="16">
        <f t="shared" si="5"/>
        <v>-285.06</v>
      </c>
      <c r="N17" s="7" t="s">
        <v>19</v>
      </c>
      <c r="O17" s="4" t="s">
        <v>20</v>
      </c>
      <c r="P17" s="24"/>
      <c r="Q17" s="19"/>
      <c r="R17" s="16">
        <f t="shared" si="6"/>
        <v>0</v>
      </c>
    </row>
    <row r="18" spans="1:18" ht="18.75" x14ac:dyDescent="0.3">
      <c r="A18" s="47"/>
      <c r="B18" s="4"/>
      <c r="C18" s="24"/>
      <c r="D18" s="22">
        <f t="shared" si="0"/>
        <v>0</v>
      </c>
      <c r="E18" s="19"/>
      <c r="F18" s="16"/>
      <c r="H18" s="47"/>
      <c r="I18" s="4"/>
      <c r="J18" s="24"/>
      <c r="K18" s="19"/>
      <c r="L18" s="16"/>
      <c r="N18" s="47"/>
      <c r="O18" s="4"/>
      <c r="P18" s="24"/>
      <c r="Q18" s="19"/>
      <c r="R18" s="16"/>
    </row>
    <row r="19" spans="1:18" ht="18.75" x14ac:dyDescent="0.3">
      <c r="A19" s="48" t="s">
        <v>40</v>
      </c>
      <c r="B19" s="4" t="s">
        <v>29</v>
      </c>
      <c r="C19" s="24">
        <f>SUM(C20:C29)</f>
        <v>104638</v>
      </c>
      <c r="D19" s="22">
        <f>D20+D21+D22+D23+D24+D25+D26+D27+D28+D29</f>
        <v>127143.59</v>
      </c>
      <c r="E19" s="17">
        <f>SUM(E20:E29)</f>
        <v>76533.150000000009</v>
      </c>
      <c r="F19" s="15">
        <f t="shared" si="1"/>
        <v>50610.439999999988</v>
      </c>
      <c r="H19" s="48" t="s">
        <v>40</v>
      </c>
      <c r="I19" s="4" t="s">
        <v>29</v>
      </c>
      <c r="J19" s="24"/>
      <c r="K19" s="17">
        <f>K20+K21+K22+K23+K24+K25+K26+K27+K28+K29</f>
        <v>1959.9999999999998</v>
      </c>
      <c r="L19" s="15">
        <f>J19-K19</f>
        <v>-1959.9999999999998</v>
      </c>
      <c r="N19" s="48" t="s">
        <v>40</v>
      </c>
      <c r="O19" s="4" t="s">
        <v>29</v>
      </c>
      <c r="P19" s="24"/>
      <c r="Q19" s="17"/>
      <c r="R19" s="15">
        <f>P19-Q19</f>
        <v>0</v>
      </c>
    </row>
    <row r="20" spans="1:18" ht="18.75" x14ac:dyDescent="0.3">
      <c r="A20" s="43" t="s">
        <v>21</v>
      </c>
      <c r="B20" s="44" t="s">
        <v>22</v>
      </c>
      <c r="C20" s="45">
        <v>35000</v>
      </c>
      <c r="D20" s="22">
        <f t="shared" si="0"/>
        <v>35000</v>
      </c>
      <c r="E20" s="49">
        <f>3246+3872+3105.5+3168+2812.5+2052.5+327.76</f>
        <v>18584.259999999998</v>
      </c>
      <c r="F20" s="16">
        <f t="shared" si="1"/>
        <v>16415.740000000002</v>
      </c>
      <c r="H20" s="43" t="s">
        <v>21</v>
      </c>
      <c r="I20" s="44" t="s">
        <v>22</v>
      </c>
      <c r="J20" s="45"/>
      <c r="K20" s="49"/>
      <c r="L20" s="16">
        <f t="shared" ref="L20" si="7">J20-K20</f>
        <v>0</v>
      </c>
      <c r="N20" s="43" t="s">
        <v>21</v>
      </c>
      <c r="O20" s="44" t="s">
        <v>22</v>
      </c>
      <c r="P20" s="45"/>
      <c r="Q20" s="49"/>
      <c r="R20" s="16">
        <f t="shared" ref="R20" si="8">P20-Q20</f>
        <v>0</v>
      </c>
    </row>
    <row r="21" spans="1:18" ht="18.75" x14ac:dyDescent="0.3">
      <c r="A21" s="43" t="s">
        <v>41</v>
      </c>
      <c r="B21" s="44" t="s">
        <v>30</v>
      </c>
      <c r="C21" s="45"/>
      <c r="D21" s="22">
        <f t="shared" si="0"/>
        <v>0</v>
      </c>
      <c r="E21" s="46"/>
      <c r="F21" s="15"/>
      <c r="H21" s="43" t="s">
        <v>41</v>
      </c>
      <c r="I21" s="44" t="s">
        <v>30</v>
      </c>
      <c r="J21" s="45"/>
      <c r="K21" s="46"/>
      <c r="L21" s="15"/>
      <c r="N21" s="43" t="s">
        <v>41</v>
      </c>
      <c r="O21" s="44" t="s">
        <v>30</v>
      </c>
      <c r="P21" s="45"/>
      <c r="Q21" s="46"/>
      <c r="R21" s="15"/>
    </row>
    <row r="22" spans="1:18" ht="18.75" x14ac:dyDescent="0.3">
      <c r="A22" s="43" t="s">
        <v>42</v>
      </c>
      <c r="B22" s="44" t="s">
        <v>31</v>
      </c>
      <c r="C22" s="45">
        <v>1000</v>
      </c>
      <c r="D22" s="22">
        <f t="shared" si="0"/>
        <v>1000</v>
      </c>
      <c r="E22" s="49"/>
      <c r="F22" s="16">
        <f t="shared" si="1"/>
        <v>1000</v>
      </c>
      <c r="H22" s="43" t="s">
        <v>42</v>
      </c>
      <c r="I22" s="44" t="s">
        <v>31</v>
      </c>
      <c r="J22" s="45"/>
      <c r="K22" s="49"/>
      <c r="L22" s="16">
        <f t="shared" ref="L22:L23" si="9">J22-K22</f>
        <v>0</v>
      </c>
      <c r="N22" s="43" t="s">
        <v>42</v>
      </c>
      <c r="O22" s="44" t="s">
        <v>31</v>
      </c>
      <c r="P22" s="45"/>
      <c r="Q22" s="49"/>
      <c r="R22" s="16">
        <f t="shared" ref="R22:R23" si="10">P22-Q22</f>
        <v>0</v>
      </c>
    </row>
    <row r="23" spans="1:18" ht="18.75" x14ac:dyDescent="0.3">
      <c r="A23" s="7" t="s">
        <v>23</v>
      </c>
      <c r="B23" s="12" t="s">
        <v>24</v>
      </c>
      <c r="C23" s="21"/>
      <c r="D23" s="22">
        <f>C23+7331.03</f>
        <v>7331.03</v>
      </c>
      <c r="E23" s="19">
        <f>7811.9</f>
        <v>7811.9</v>
      </c>
      <c r="F23" s="16">
        <f t="shared" si="1"/>
        <v>-480.86999999999989</v>
      </c>
      <c r="H23" s="7" t="s">
        <v>23</v>
      </c>
      <c r="I23" s="12" t="s">
        <v>24</v>
      </c>
      <c r="J23" s="21"/>
      <c r="K23" s="19"/>
      <c r="L23" s="16">
        <f t="shared" si="9"/>
        <v>0</v>
      </c>
      <c r="N23" s="7" t="s">
        <v>23</v>
      </c>
      <c r="O23" s="12" t="s">
        <v>24</v>
      </c>
      <c r="P23" s="21"/>
      <c r="Q23" s="19"/>
      <c r="R23" s="16">
        <f t="shared" si="10"/>
        <v>0</v>
      </c>
    </row>
    <row r="24" spans="1:18" ht="18.75" x14ac:dyDescent="0.3">
      <c r="A24" s="7" t="s">
        <v>32</v>
      </c>
      <c r="B24" s="12" t="s">
        <v>33</v>
      </c>
      <c r="C24" s="24">
        <v>10000</v>
      </c>
      <c r="D24" s="22">
        <f>C24+11652</f>
        <v>21652</v>
      </c>
      <c r="E24" s="19">
        <f>410.08+3595.84+620.4+2669.94+98.8+1936.31+1220.9+1760+2055.4+978.02</f>
        <v>15345.69</v>
      </c>
      <c r="F24" s="16">
        <f>D24-E24</f>
        <v>6306.3099999999995</v>
      </c>
      <c r="H24" s="7" t="s">
        <v>32</v>
      </c>
      <c r="I24" s="12" t="s">
        <v>33</v>
      </c>
      <c r="J24" s="24"/>
      <c r="K24" s="19">
        <f>178+232.08+1095.12</f>
        <v>1505.1999999999998</v>
      </c>
      <c r="L24" s="16">
        <f>J24-K24</f>
        <v>-1505.1999999999998</v>
      </c>
      <c r="N24" s="7" t="s">
        <v>32</v>
      </c>
      <c r="O24" s="12" t="s">
        <v>33</v>
      </c>
      <c r="P24" s="57">
        <f>20466.24+57835.48</f>
        <v>78301.72</v>
      </c>
      <c r="Q24" s="19">
        <f>75239.19+3618.25-555.72</f>
        <v>78301.72</v>
      </c>
      <c r="R24" s="16">
        <f>P24-Q24</f>
        <v>0</v>
      </c>
    </row>
    <row r="25" spans="1:18" ht="18.75" x14ac:dyDescent="0.3">
      <c r="A25" s="7" t="s">
        <v>34</v>
      </c>
      <c r="B25" s="4" t="s">
        <v>35</v>
      </c>
      <c r="C25" s="24">
        <v>16638</v>
      </c>
      <c r="D25" s="22">
        <f t="shared" si="0"/>
        <v>16638</v>
      </c>
      <c r="E25" s="19">
        <f>233.79+240.68+242.51+345.23+229.06+202.49+187.93+11044.84+134.45+194.3</f>
        <v>13055.28</v>
      </c>
      <c r="F25" s="16">
        <f>D25-E25</f>
        <v>3582.7199999999993</v>
      </c>
      <c r="H25" s="7" t="s">
        <v>34</v>
      </c>
      <c r="I25" s="4" t="s">
        <v>35</v>
      </c>
      <c r="J25" s="24"/>
      <c r="K25" s="19"/>
      <c r="L25" s="16">
        <f>J25-K25</f>
        <v>0</v>
      </c>
      <c r="N25" s="7" t="s">
        <v>34</v>
      </c>
      <c r="O25" s="4" t="s">
        <v>35</v>
      </c>
      <c r="P25" s="24"/>
      <c r="Q25" s="19"/>
      <c r="R25" s="16">
        <f>P25-Q25</f>
        <v>0</v>
      </c>
    </row>
    <row r="26" spans="1:18" ht="18.75" x14ac:dyDescent="0.3">
      <c r="A26" s="42" t="s">
        <v>44</v>
      </c>
      <c r="B26" s="12" t="s">
        <v>25</v>
      </c>
      <c r="C26" s="24">
        <v>30000</v>
      </c>
      <c r="D26" s="22">
        <f>C26+3522.56</f>
        <v>33522.559999999998</v>
      </c>
      <c r="E26" s="19">
        <f>584.22+2186.87+656.74+1297.43+5163.95+2776.24+1093.98+320.89+3074.07+3665.83</f>
        <v>20820.22</v>
      </c>
      <c r="F26" s="15">
        <f t="shared" si="1"/>
        <v>12702.339999999997</v>
      </c>
      <c r="H26" s="42" t="s">
        <v>44</v>
      </c>
      <c r="I26" s="12" t="s">
        <v>25</v>
      </c>
      <c r="J26" s="24"/>
      <c r="K26" s="19">
        <f>454.8</f>
        <v>454.8</v>
      </c>
      <c r="L26" s="15">
        <f t="shared" ref="L26:L28" si="11">J26-K26</f>
        <v>-454.8</v>
      </c>
      <c r="N26" s="42" t="s">
        <v>44</v>
      </c>
      <c r="O26" s="12" t="s">
        <v>25</v>
      </c>
      <c r="P26" s="24"/>
      <c r="Q26" s="19"/>
      <c r="R26" s="15">
        <f t="shared" ref="R26:R33" si="12">P26-Q26</f>
        <v>0</v>
      </c>
    </row>
    <row r="27" spans="1:18" ht="18.75" x14ac:dyDescent="0.3">
      <c r="A27" s="42" t="s">
        <v>36</v>
      </c>
      <c r="B27" s="12" t="s">
        <v>37</v>
      </c>
      <c r="C27" s="24">
        <v>10000</v>
      </c>
      <c r="D27" s="22">
        <f t="shared" si="0"/>
        <v>10000</v>
      </c>
      <c r="E27" s="19"/>
      <c r="F27" s="16">
        <f t="shared" si="1"/>
        <v>10000</v>
      </c>
      <c r="H27" s="42" t="s">
        <v>36</v>
      </c>
      <c r="I27" s="12" t="s">
        <v>37</v>
      </c>
      <c r="J27" s="24"/>
      <c r="K27" s="19"/>
      <c r="L27" s="16">
        <f t="shared" si="11"/>
        <v>0</v>
      </c>
      <c r="N27" s="42" t="s">
        <v>36</v>
      </c>
      <c r="O27" s="12" t="s">
        <v>37</v>
      </c>
      <c r="P27" s="24"/>
      <c r="Q27" s="19"/>
      <c r="R27" s="16">
        <f t="shared" si="12"/>
        <v>0</v>
      </c>
    </row>
    <row r="28" spans="1:18" ht="18.75" x14ac:dyDescent="0.3">
      <c r="A28" s="42" t="s">
        <v>45</v>
      </c>
      <c r="B28" s="12" t="s">
        <v>38</v>
      </c>
      <c r="C28" s="24">
        <v>2000</v>
      </c>
      <c r="D28" s="22">
        <f t="shared" si="0"/>
        <v>2000</v>
      </c>
      <c r="E28" s="19">
        <f>50+50+148+276+246+97+48.8</f>
        <v>915.8</v>
      </c>
      <c r="F28" s="16">
        <f t="shared" si="1"/>
        <v>1084.2</v>
      </c>
      <c r="H28" s="42" t="s">
        <v>45</v>
      </c>
      <c r="I28" s="12" t="s">
        <v>38</v>
      </c>
      <c r="J28" s="24"/>
      <c r="K28" s="19"/>
      <c r="L28" s="16">
        <f t="shared" si="11"/>
        <v>0</v>
      </c>
      <c r="N28" s="7" t="s">
        <v>74</v>
      </c>
      <c r="O28" s="12" t="s">
        <v>120</v>
      </c>
      <c r="P28" s="57">
        <v>27137.3</v>
      </c>
      <c r="Q28" s="19">
        <v>27137.31</v>
      </c>
      <c r="R28" s="16">
        <f t="shared" si="12"/>
        <v>-1.0000000002037268E-2</v>
      </c>
    </row>
    <row r="29" spans="1:18" ht="18.75" x14ac:dyDescent="0.3">
      <c r="A29" s="42" t="s">
        <v>46</v>
      </c>
      <c r="B29" s="12" t="s">
        <v>49</v>
      </c>
      <c r="C29" s="24"/>
      <c r="D29" s="22">
        <f t="shared" si="0"/>
        <v>0</v>
      </c>
      <c r="E29" s="19"/>
      <c r="F29" s="16"/>
      <c r="H29" s="42" t="s">
        <v>46</v>
      </c>
      <c r="I29" s="12" t="s">
        <v>49</v>
      </c>
      <c r="J29" s="24"/>
      <c r="K29" s="19"/>
      <c r="L29" s="16"/>
      <c r="N29" s="42" t="s">
        <v>132</v>
      </c>
      <c r="O29" s="12" t="s">
        <v>121</v>
      </c>
      <c r="P29" s="57">
        <v>29903.759999999998</v>
      </c>
      <c r="Q29" s="19">
        <f>15310.08+14593.68</f>
        <v>29903.760000000002</v>
      </c>
      <c r="R29" s="16">
        <f t="shared" si="12"/>
        <v>0</v>
      </c>
    </row>
    <row r="30" spans="1:18" ht="18.75" x14ac:dyDescent="0.3">
      <c r="A30" s="42" t="s">
        <v>47</v>
      </c>
      <c r="B30" s="12" t="s">
        <v>50</v>
      </c>
      <c r="C30" s="24">
        <v>300</v>
      </c>
      <c r="D30" s="22">
        <f t="shared" si="0"/>
        <v>300</v>
      </c>
      <c r="E30" s="19">
        <v>280.86</v>
      </c>
      <c r="F30" s="16">
        <f t="shared" si="1"/>
        <v>19.139999999999986</v>
      </c>
      <c r="H30" s="42" t="s">
        <v>47</v>
      </c>
      <c r="I30" s="12" t="s">
        <v>50</v>
      </c>
      <c r="J30" s="24"/>
      <c r="K30" s="19"/>
      <c r="L30" s="16">
        <f t="shared" ref="L30:L33" si="13">J30-K30</f>
        <v>0</v>
      </c>
      <c r="N30" s="42" t="s">
        <v>133</v>
      </c>
      <c r="O30" s="12" t="s">
        <v>122</v>
      </c>
      <c r="P30" s="57">
        <v>39744.57</v>
      </c>
      <c r="Q30" s="19">
        <f>31993.41+555.73</f>
        <v>32549.14</v>
      </c>
      <c r="R30" s="16">
        <f t="shared" si="12"/>
        <v>7195.43</v>
      </c>
    </row>
    <row r="31" spans="1:18" ht="18.75" x14ac:dyDescent="0.3">
      <c r="A31" s="7" t="s">
        <v>48</v>
      </c>
      <c r="B31" s="12" t="s">
        <v>51</v>
      </c>
      <c r="C31" s="24"/>
      <c r="D31" s="22">
        <f t="shared" si="0"/>
        <v>0</v>
      </c>
      <c r="E31" s="19"/>
      <c r="F31" s="16">
        <f t="shared" si="1"/>
        <v>0</v>
      </c>
      <c r="H31" s="7" t="s">
        <v>48</v>
      </c>
      <c r="I31" s="12" t="s">
        <v>51</v>
      </c>
      <c r="J31" s="24"/>
      <c r="K31" s="19"/>
      <c r="L31" s="16">
        <f t="shared" si="13"/>
        <v>0</v>
      </c>
      <c r="N31" s="7" t="s">
        <v>48</v>
      </c>
      <c r="O31" s="12" t="s">
        <v>51</v>
      </c>
      <c r="P31" s="24"/>
      <c r="Q31" s="19"/>
      <c r="R31" s="16">
        <f t="shared" si="12"/>
        <v>0</v>
      </c>
    </row>
    <row r="32" spans="1:18" ht="18.75" x14ac:dyDescent="0.3">
      <c r="A32" s="7" t="s">
        <v>74</v>
      </c>
      <c r="B32" s="12" t="s">
        <v>72</v>
      </c>
      <c r="C32" s="24">
        <v>1200</v>
      </c>
      <c r="D32" s="22">
        <f t="shared" si="0"/>
        <v>1200</v>
      </c>
      <c r="E32" s="74"/>
      <c r="F32" s="7"/>
      <c r="H32" s="13" t="s">
        <v>56</v>
      </c>
      <c r="I32" s="12" t="s">
        <v>57</v>
      </c>
      <c r="J32" s="25">
        <f>7057+6650+4932</f>
        <v>18639</v>
      </c>
      <c r="K32" s="19"/>
      <c r="L32" s="16">
        <f>J32-K34</f>
        <v>4240</v>
      </c>
      <c r="N32" s="13" t="s">
        <v>56</v>
      </c>
      <c r="O32" s="12" t="s">
        <v>57</v>
      </c>
      <c r="P32" s="71">
        <f>88273.22+51909.65+25459.75+3648.4</f>
        <v>169291.02</v>
      </c>
      <c r="Q32" s="19"/>
      <c r="R32" s="16">
        <f>P32-Q34</f>
        <v>1399.0899999999965</v>
      </c>
    </row>
    <row r="33" spans="1:18" ht="18.75" x14ac:dyDescent="0.3">
      <c r="A33" s="7" t="s">
        <v>75</v>
      </c>
      <c r="B33" s="12" t="s">
        <v>73</v>
      </c>
      <c r="C33" s="24">
        <v>3000</v>
      </c>
      <c r="D33" s="22">
        <f t="shared" si="0"/>
        <v>3000</v>
      </c>
      <c r="E33" s="75">
        <f>2630</f>
        <v>2630</v>
      </c>
      <c r="F33" s="7"/>
      <c r="J33" s="24"/>
      <c r="K33" s="19"/>
      <c r="L33" s="16">
        <f t="shared" si="13"/>
        <v>0</v>
      </c>
      <c r="P33" s="24"/>
      <c r="Q33" s="19"/>
      <c r="R33" s="16">
        <f t="shared" si="12"/>
        <v>0</v>
      </c>
    </row>
    <row r="34" spans="1:18" ht="18.75" x14ac:dyDescent="0.3">
      <c r="A34" s="13" t="s">
        <v>26</v>
      </c>
      <c r="B34" s="12" t="s">
        <v>27</v>
      </c>
      <c r="C34" s="25">
        <v>15985</v>
      </c>
      <c r="D34" s="22">
        <f t="shared" si="0"/>
        <v>15985</v>
      </c>
      <c r="E34" s="19"/>
      <c r="F34" s="16">
        <f t="shared" si="1"/>
        <v>15985</v>
      </c>
      <c r="I34" t="s">
        <v>28</v>
      </c>
      <c r="J34" s="26">
        <f>J32</f>
        <v>18639</v>
      </c>
      <c r="K34" s="55">
        <f>K6+K7+K13+K19+K30+K31</f>
        <v>14399</v>
      </c>
      <c r="L34" s="26">
        <f>J34-K34</f>
        <v>4240</v>
      </c>
      <c r="N34" t="s">
        <v>136</v>
      </c>
      <c r="O34" t="s">
        <v>28</v>
      </c>
      <c r="P34" s="26">
        <v>180758.65</v>
      </c>
      <c r="Q34" s="55">
        <f>Q6+Q24+Q28+Q29+Q307+Q13+Q19+Q30+Q31</f>
        <v>167891.93</v>
      </c>
      <c r="R34" s="26">
        <f>P34-Q34</f>
        <v>12866.720000000001</v>
      </c>
    </row>
    <row r="35" spans="1:18" ht="18.75" x14ac:dyDescent="0.3">
      <c r="C35" s="24"/>
      <c r="D35" s="24"/>
      <c r="E35" s="19"/>
      <c r="F35" s="16">
        <f t="shared" si="1"/>
        <v>0</v>
      </c>
      <c r="J35" s="50"/>
      <c r="K35" s="20"/>
      <c r="N35" t="s">
        <v>135</v>
      </c>
      <c r="P35" s="26">
        <f>114876.54+60210.8</f>
        <v>175087.34</v>
      </c>
      <c r="Q35" s="20"/>
    </row>
    <row r="36" spans="1:18" ht="18.75" x14ac:dyDescent="0.3">
      <c r="B36" t="s">
        <v>28</v>
      </c>
      <c r="C36" s="26">
        <f>C6+C7+C13+C19+C30+C31+C32+C33</f>
        <v>871255.6</v>
      </c>
      <c r="D36" s="26">
        <f>D6+D7+D13+D19+D30+D31+D32+D33</f>
        <v>906093.19</v>
      </c>
      <c r="E36" s="55">
        <f>E6+E7+E13+E19+E30+E31+E33</f>
        <v>628195.47</v>
      </c>
      <c r="F36" s="55">
        <f>F6+F7+F13+F19+F30+F31</f>
        <v>276327.71999999997</v>
      </c>
      <c r="H36" s="1" t="s">
        <v>53</v>
      </c>
      <c r="J36" s="50"/>
      <c r="K36" s="56" t="s">
        <v>54</v>
      </c>
      <c r="N36" s="1" t="s">
        <v>53</v>
      </c>
      <c r="P36" s="50"/>
      <c r="Q36" s="56" t="s">
        <v>54</v>
      </c>
    </row>
    <row r="37" spans="1:18" ht="18" x14ac:dyDescent="0.25">
      <c r="C37" s="50"/>
      <c r="D37" s="50"/>
      <c r="E37" s="20"/>
      <c r="J37" s="50"/>
      <c r="K37" s="20"/>
      <c r="P37" s="50"/>
      <c r="Q37" s="20"/>
    </row>
    <row r="38" spans="1:18" s="28" customFormat="1" ht="18.75" x14ac:dyDescent="0.3">
      <c r="A38" s="1" t="s">
        <v>53</v>
      </c>
      <c r="B38"/>
      <c r="C38" s="50"/>
      <c r="D38" s="50"/>
      <c r="E38" s="56" t="s">
        <v>54</v>
      </c>
      <c r="F38"/>
      <c r="K38" s="29"/>
      <c r="Q38" s="29"/>
    </row>
    <row r="39" spans="1:18" s="28" customFormat="1" ht="21" x14ac:dyDescent="0.35">
      <c r="A39"/>
      <c r="B39"/>
      <c r="C39" s="50"/>
      <c r="D39" s="50"/>
      <c r="E39" s="20"/>
      <c r="F39"/>
      <c r="H39" s="92"/>
      <c r="I39" s="92"/>
      <c r="J39" s="30"/>
      <c r="K39" s="31"/>
      <c r="L39" s="32"/>
      <c r="N39" s="92"/>
      <c r="O39" s="92"/>
      <c r="P39" s="30"/>
      <c r="Q39" s="31"/>
      <c r="R39" s="32"/>
    </row>
    <row r="40" spans="1:18" s="28" customFormat="1" ht="18" x14ac:dyDescent="0.25">
      <c r="E40" s="29"/>
      <c r="I40" s="27"/>
      <c r="J40" s="33"/>
      <c r="K40" s="34"/>
      <c r="L40" s="35"/>
      <c r="O40" s="27"/>
      <c r="P40" s="33"/>
      <c r="Q40" s="34"/>
      <c r="R40" s="35"/>
    </row>
    <row r="41" spans="1:18" s="28" customFormat="1" ht="21" x14ac:dyDescent="0.35">
      <c r="A41" s="92"/>
      <c r="B41" s="92"/>
      <c r="C41" s="30">
        <f>C34-809.76</f>
        <v>15175.24</v>
      </c>
      <c r="D41" s="30"/>
      <c r="E41" s="31"/>
      <c r="F41" s="32"/>
      <c r="I41" s="27"/>
      <c r="J41" s="36"/>
      <c r="K41" s="37"/>
      <c r="L41" s="35"/>
      <c r="O41" s="27"/>
      <c r="P41" s="36"/>
      <c r="Q41" s="37"/>
      <c r="R41" s="35"/>
    </row>
    <row r="42" spans="1:18" s="28" customFormat="1" ht="18" x14ac:dyDescent="0.25">
      <c r="B42" s="27"/>
      <c r="C42" s="33"/>
      <c r="D42" s="33"/>
      <c r="E42" s="34"/>
      <c r="F42" s="35"/>
      <c r="I42" s="27"/>
      <c r="J42" s="36"/>
      <c r="K42" s="37"/>
      <c r="L42" s="35"/>
      <c r="O42" s="27"/>
      <c r="P42" s="36"/>
      <c r="Q42" s="37"/>
      <c r="R42" s="35"/>
    </row>
    <row r="43" spans="1:18" s="28" customFormat="1" ht="18" x14ac:dyDescent="0.25">
      <c r="B43" s="27"/>
      <c r="C43" s="36"/>
      <c r="D43" s="36"/>
      <c r="E43" s="37"/>
      <c r="F43" s="35"/>
      <c r="I43" s="27"/>
      <c r="J43" s="36"/>
      <c r="K43" s="37"/>
      <c r="L43" s="35"/>
      <c r="O43" s="27"/>
      <c r="P43" s="36"/>
      <c r="Q43" s="37"/>
      <c r="R43" s="35"/>
    </row>
    <row r="44" spans="1:18" s="28" customFormat="1" ht="18" x14ac:dyDescent="0.25">
      <c r="B44" s="27"/>
      <c r="C44" s="36"/>
      <c r="D44" s="36"/>
      <c r="E44" s="37"/>
      <c r="F44" s="35"/>
      <c r="I44" s="27"/>
      <c r="J44" s="36"/>
      <c r="K44" s="37"/>
      <c r="L44" s="35"/>
      <c r="O44" s="27"/>
      <c r="P44" s="36"/>
      <c r="Q44" s="37"/>
      <c r="R44" s="35"/>
    </row>
    <row r="45" spans="1:18" s="28" customFormat="1" ht="18" x14ac:dyDescent="0.25">
      <c r="B45" s="27"/>
      <c r="C45" s="36"/>
      <c r="D45" s="36"/>
      <c r="E45" s="37"/>
      <c r="F45" s="35"/>
      <c r="I45" s="27"/>
      <c r="J45" s="36"/>
      <c r="K45" s="37"/>
      <c r="L45" s="35"/>
      <c r="O45" s="27"/>
      <c r="P45" s="36"/>
      <c r="Q45" s="37"/>
      <c r="R45" s="35"/>
    </row>
    <row r="46" spans="1:18" s="28" customFormat="1" ht="18" x14ac:dyDescent="0.25">
      <c r="B46" s="27"/>
      <c r="C46" s="36"/>
      <c r="D46" s="36"/>
      <c r="E46" s="37"/>
      <c r="F46" s="35"/>
      <c r="I46" s="27"/>
      <c r="J46" s="36"/>
      <c r="K46" s="37"/>
      <c r="L46" s="35"/>
      <c r="O46" s="27"/>
      <c r="P46" s="36"/>
      <c r="Q46" s="37"/>
      <c r="R46" s="35"/>
    </row>
    <row r="47" spans="1:18" s="28" customFormat="1" ht="18" x14ac:dyDescent="0.25">
      <c r="B47" s="27"/>
      <c r="C47" s="36"/>
      <c r="D47" s="36"/>
      <c r="E47" s="37"/>
      <c r="F47" s="35"/>
      <c r="I47" s="27"/>
      <c r="J47" s="36"/>
      <c r="K47" s="37"/>
      <c r="L47" s="35"/>
      <c r="O47" s="27"/>
      <c r="P47" s="36"/>
      <c r="Q47" s="37"/>
      <c r="R47" s="35"/>
    </row>
    <row r="48" spans="1:18" s="28" customFormat="1" ht="18" x14ac:dyDescent="0.25">
      <c r="B48" s="27"/>
      <c r="C48" s="36"/>
      <c r="D48" s="36"/>
      <c r="E48" s="37"/>
      <c r="F48" s="35"/>
      <c r="I48" s="27"/>
      <c r="J48" s="36"/>
      <c r="K48" s="37"/>
      <c r="L48" s="35"/>
      <c r="O48" s="27"/>
      <c r="P48" s="36"/>
      <c r="Q48" s="37"/>
      <c r="R48" s="35"/>
    </row>
    <row r="49" spans="1:18" s="28" customFormat="1" ht="18" x14ac:dyDescent="0.25">
      <c r="B49" s="27"/>
      <c r="C49" s="36"/>
      <c r="D49" s="36"/>
      <c r="E49" s="37"/>
      <c r="F49" s="35"/>
      <c r="I49" s="27"/>
      <c r="J49" s="36"/>
      <c r="K49" s="37"/>
      <c r="L49" s="35"/>
      <c r="O49" s="27"/>
      <c r="P49" s="36"/>
      <c r="Q49" s="37"/>
      <c r="R49" s="35"/>
    </row>
    <row r="50" spans="1:18" s="28" customFormat="1" ht="18" x14ac:dyDescent="0.25">
      <c r="B50" s="27"/>
      <c r="C50" s="36"/>
      <c r="D50" s="36"/>
      <c r="E50" s="37"/>
      <c r="F50" s="35"/>
      <c r="I50" s="27"/>
      <c r="J50" s="36"/>
      <c r="K50" s="37"/>
      <c r="L50" s="35"/>
      <c r="O50" s="27"/>
      <c r="P50" s="36"/>
      <c r="Q50" s="37"/>
      <c r="R50" s="35"/>
    </row>
    <row r="51" spans="1:18" s="28" customFormat="1" ht="18" x14ac:dyDescent="0.25">
      <c r="B51" s="27"/>
      <c r="C51" s="36"/>
      <c r="D51" s="36"/>
      <c r="E51" s="37"/>
      <c r="F51" s="35"/>
      <c r="I51" s="27"/>
      <c r="J51" s="36"/>
      <c r="K51" s="37"/>
      <c r="L51" s="35"/>
      <c r="O51" s="27"/>
      <c r="P51" s="36"/>
      <c r="Q51" s="37"/>
      <c r="R51" s="35"/>
    </row>
    <row r="52" spans="1:18" s="28" customFormat="1" ht="18" x14ac:dyDescent="0.25">
      <c r="B52" s="27"/>
      <c r="C52" s="36"/>
      <c r="D52" s="36"/>
      <c r="E52" s="37"/>
      <c r="F52" s="35"/>
      <c r="I52" s="27"/>
      <c r="J52" s="36"/>
      <c r="K52" s="37"/>
      <c r="L52" s="35"/>
      <c r="O52" s="27"/>
      <c r="P52" s="36"/>
      <c r="Q52" s="37"/>
      <c r="R52" s="35"/>
    </row>
    <row r="53" spans="1:18" s="28" customFormat="1" ht="18" x14ac:dyDescent="0.25">
      <c r="B53" s="27"/>
      <c r="C53" s="36"/>
      <c r="D53" s="36"/>
      <c r="E53" s="37"/>
      <c r="F53" s="35"/>
      <c r="J53" s="33"/>
      <c r="K53" s="34"/>
      <c r="L53" s="35"/>
      <c r="P53" s="33"/>
      <c r="Q53" s="34"/>
      <c r="R53" s="35"/>
    </row>
    <row r="54" spans="1:18" s="28" customFormat="1" ht="18" x14ac:dyDescent="0.25">
      <c r="B54" s="27"/>
      <c r="C54" s="36"/>
      <c r="D54" s="36"/>
      <c r="E54" s="37"/>
      <c r="F54" s="35"/>
      <c r="J54" s="35"/>
      <c r="K54" s="34"/>
      <c r="L54" s="35"/>
      <c r="P54" s="35"/>
      <c r="Q54" s="34"/>
      <c r="R54" s="35"/>
    </row>
    <row r="55" spans="1:18" s="28" customFormat="1" ht="18" x14ac:dyDescent="0.25">
      <c r="C55" s="33"/>
      <c r="D55" s="33"/>
      <c r="E55" s="34"/>
      <c r="F55" s="35"/>
      <c r="J55" s="35"/>
      <c r="K55" s="34"/>
      <c r="L55" s="35"/>
      <c r="P55" s="35"/>
      <c r="Q55" s="34"/>
      <c r="R55" s="35"/>
    </row>
    <row r="56" spans="1:18" s="28" customFormat="1" ht="18" x14ac:dyDescent="0.25">
      <c r="C56" s="35"/>
      <c r="D56" s="35"/>
      <c r="E56" s="34"/>
      <c r="F56" s="35"/>
      <c r="H56" s="39"/>
      <c r="J56" s="40"/>
      <c r="K56" s="27"/>
      <c r="N56" s="39"/>
      <c r="P56" s="40"/>
      <c r="Q56" s="27"/>
    </row>
    <row r="57" spans="1:18" s="28" customFormat="1" ht="18" x14ac:dyDescent="0.25">
      <c r="C57" s="35"/>
      <c r="D57" s="35"/>
      <c r="E57" s="34"/>
      <c r="F57" s="35"/>
      <c r="J57" s="41"/>
      <c r="K57" s="41"/>
      <c r="P57" s="41"/>
      <c r="Q57" s="41"/>
    </row>
    <row r="58" spans="1:18" s="28" customFormat="1" ht="18" x14ac:dyDescent="0.25">
      <c r="A58" s="39"/>
      <c r="C58" s="40"/>
      <c r="D58" s="40"/>
      <c r="E58" s="27"/>
      <c r="H58" s="38"/>
      <c r="I58" s="27"/>
      <c r="J58" s="27"/>
      <c r="K58" s="27"/>
      <c r="N58" s="38"/>
      <c r="O58" s="27"/>
      <c r="P58" s="27"/>
      <c r="Q58" s="27"/>
    </row>
    <row r="59" spans="1:18" s="28" customFormat="1" ht="18" x14ac:dyDescent="0.25">
      <c r="C59" s="41"/>
      <c r="D59" s="41"/>
      <c r="E59" s="41"/>
      <c r="I59" s="27"/>
      <c r="J59" s="27"/>
      <c r="K59" s="27"/>
      <c r="O59" s="27"/>
      <c r="P59" s="27"/>
      <c r="Q59" s="27"/>
    </row>
    <row r="60" spans="1:18" s="28" customFormat="1" ht="18" x14ac:dyDescent="0.25">
      <c r="A60" s="38"/>
      <c r="B60" s="27"/>
      <c r="C60" s="27"/>
      <c r="D60" s="27"/>
      <c r="E60" s="27"/>
      <c r="I60" s="27"/>
      <c r="J60" s="27"/>
      <c r="K60" s="27"/>
      <c r="O60" s="27"/>
      <c r="P60" s="27"/>
      <c r="Q60" s="27"/>
    </row>
    <row r="61" spans="1:18" s="28" customFormat="1" ht="18" x14ac:dyDescent="0.25">
      <c r="B61" s="27"/>
      <c r="C61" s="27"/>
      <c r="D61" s="27"/>
      <c r="E61" s="27"/>
      <c r="H61" s="38"/>
      <c r="I61" s="27"/>
      <c r="J61" s="27"/>
      <c r="K61" s="27"/>
      <c r="N61" s="38"/>
      <c r="O61" s="27"/>
      <c r="P61" s="27"/>
      <c r="Q61" s="27"/>
    </row>
    <row r="62" spans="1:18" s="28" customFormat="1" ht="18" x14ac:dyDescent="0.25">
      <c r="B62" s="27"/>
      <c r="C62" s="27"/>
      <c r="D62" s="27"/>
      <c r="E62" s="27"/>
      <c r="H62" s="38"/>
      <c r="I62" s="27"/>
      <c r="J62" s="27"/>
      <c r="K62" s="27"/>
      <c r="N62" s="38"/>
      <c r="O62" s="27"/>
      <c r="P62" s="27"/>
      <c r="Q62" s="27"/>
    </row>
    <row r="63" spans="1:18" s="28" customFormat="1" ht="18" x14ac:dyDescent="0.25">
      <c r="A63" s="38"/>
      <c r="B63" s="27"/>
      <c r="C63" s="27"/>
      <c r="D63" s="27"/>
      <c r="E63" s="27"/>
      <c r="H63" s="38"/>
      <c r="I63" s="27"/>
      <c r="J63" s="27"/>
      <c r="K63" s="27"/>
      <c r="N63" s="38"/>
      <c r="O63" s="27"/>
      <c r="P63" s="27"/>
      <c r="Q63" s="27"/>
    </row>
    <row r="64" spans="1:18" s="28" customFormat="1" ht="18" x14ac:dyDescent="0.25">
      <c r="A64" s="38"/>
      <c r="B64" s="27"/>
      <c r="C64" s="27"/>
      <c r="D64" s="27"/>
      <c r="E64" s="27"/>
      <c r="H64" s="38"/>
      <c r="I64" s="27"/>
      <c r="J64" s="27"/>
      <c r="K64" s="27"/>
      <c r="N64" s="38"/>
      <c r="O64" s="27"/>
      <c r="P64" s="27"/>
      <c r="Q64" s="27"/>
    </row>
    <row r="65" spans="1:6" s="28" customFormat="1" ht="18" x14ac:dyDescent="0.25">
      <c r="A65" s="38"/>
      <c r="B65" s="27"/>
      <c r="C65" s="27"/>
      <c r="D65" s="27"/>
      <c r="E65" s="27"/>
    </row>
    <row r="66" spans="1:6" ht="18" x14ac:dyDescent="0.25">
      <c r="A66" s="38"/>
      <c r="B66" s="27"/>
      <c r="C66" s="27"/>
      <c r="D66" s="27"/>
      <c r="E66" s="27"/>
      <c r="F66" s="28"/>
    </row>
    <row r="67" spans="1:6" x14ac:dyDescent="0.25">
      <c r="A67" s="28"/>
      <c r="B67" s="28"/>
      <c r="C67" s="28"/>
      <c r="D67" s="28"/>
      <c r="E67" s="28"/>
      <c r="F67" s="28"/>
    </row>
  </sheetData>
  <mergeCells count="9">
    <mergeCell ref="N5:O5"/>
    <mergeCell ref="N6:N7"/>
    <mergeCell ref="N39:O39"/>
    <mergeCell ref="A41:B41"/>
    <mergeCell ref="A5:B5"/>
    <mergeCell ref="H5:I5"/>
    <mergeCell ref="A6:A7"/>
    <mergeCell ref="H6:H7"/>
    <mergeCell ref="H39:I39"/>
  </mergeCells>
  <pageMargins left="0.7" right="0.7" top="0.75" bottom="0.75" header="0.3" footer="0.3"/>
  <pageSetup paperSize="9" scale="89" orientation="portrait" r:id="rId1"/>
  <colBreaks count="1" manualBreakCount="1">
    <brk id="6" max="1048575" man="1"/>
  </colBreaks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topLeftCell="A16" zoomScaleNormal="100" workbookViewId="0">
      <selection activeCell="F37" sqref="F37"/>
    </sheetView>
  </sheetViews>
  <sheetFormatPr defaultRowHeight="15" x14ac:dyDescent="0.25"/>
  <cols>
    <col min="1" max="1" width="27.5703125" customWidth="1"/>
    <col min="2" max="2" width="11.42578125" customWidth="1"/>
    <col min="3" max="3" width="13.140625" customWidth="1"/>
    <col min="4" max="4" width="14.42578125" customWidth="1"/>
    <col min="5" max="5" width="15" customWidth="1"/>
    <col min="6" max="6" width="16" customWidth="1"/>
    <col min="7" max="7" width="7.7109375" customWidth="1"/>
    <col min="8" max="8" width="28.85546875" customWidth="1"/>
    <col min="9" max="9" width="11.42578125" customWidth="1"/>
    <col min="10" max="10" width="14.28515625" customWidth="1"/>
    <col min="11" max="11" width="15" customWidth="1"/>
    <col min="12" max="12" width="14.5703125" customWidth="1"/>
    <col min="14" max="14" width="28.85546875" customWidth="1"/>
    <col min="15" max="15" width="11.42578125" customWidth="1"/>
    <col min="16" max="16" width="16.28515625" customWidth="1"/>
    <col min="17" max="17" width="15" customWidth="1"/>
    <col min="18" max="18" width="14.5703125" customWidth="1"/>
  </cols>
  <sheetData>
    <row r="1" spans="1:18" ht="18.75" x14ac:dyDescent="0.3">
      <c r="B1" s="1" t="s">
        <v>61</v>
      </c>
      <c r="C1" s="1"/>
      <c r="D1" s="1"/>
      <c r="E1" s="1"/>
      <c r="I1" s="1" t="s">
        <v>55</v>
      </c>
      <c r="K1" s="1"/>
      <c r="O1" s="1" t="s">
        <v>119</v>
      </c>
      <c r="Q1" s="1"/>
    </row>
    <row r="2" spans="1:18" ht="18.75" x14ac:dyDescent="0.3">
      <c r="B2" s="1" t="s">
        <v>52</v>
      </c>
      <c r="C2" s="1"/>
      <c r="D2" s="1"/>
      <c r="E2" s="1"/>
      <c r="I2" s="1" t="s">
        <v>52</v>
      </c>
      <c r="K2" s="1"/>
      <c r="O2" s="1" t="s">
        <v>52</v>
      </c>
      <c r="Q2" s="1"/>
    </row>
    <row r="3" spans="1:18" ht="18.75" x14ac:dyDescent="0.3">
      <c r="B3" s="1"/>
      <c r="C3" s="1"/>
      <c r="D3" s="1"/>
      <c r="E3" s="1"/>
      <c r="I3" s="1"/>
      <c r="J3" s="1"/>
      <c r="K3" s="1"/>
      <c r="O3" s="1"/>
      <c r="P3" s="1"/>
      <c r="Q3" s="1"/>
    </row>
    <row r="4" spans="1:18" ht="19.5" thickBot="1" x14ac:dyDescent="0.35">
      <c r="F4" s="1"/>
      <c r="L4" s="1"/>
      <c r="R4" s="1"/>
    </row>
    <row r="5" spans="1:18" ht="63.75" thickBot="1" x14ac:dyDescent="0.4">
      <c r="A5" s="88" t="s">
        <v>62</v>
      </c>
      <c r="B5" s="89"/>
      <c r="C5" s="8" t="s">
        <v>58</v>
      </c>
      <c r="D5" s="8" t="s">
        <v>60</v>
      </c>
      <c r="E5" s="58" t="s">
        <v>137</v>
      </c>
      <c r="F5" s="10" t="s">
        <v>39</v>
      </c>
      <c r="H5" s="88" t="s">
        <v>43</v>
      </c>
      <c r="I5" s="89"/>
      <c r="J5" s="8" t="s">
        <v>117</v>
      </c>
      <c r="K5" s="58" t="s">
        <v>137</v>
      </c>
      <c r="L5" s="10" t="s">
        <v>39</v>
      </c>
      <c r="N5" s="88" t="s">
        <v>43</v>
      </c>
      <c r="O5" s="89"/>
      <c r="P5" s="8" t="s">
        <v>117</v>
      </c>
      <c r="Q5" s="58" t="s">
        <v>137</v>
      </c>
      <c r="R5" s="10" t="s">
        <v>39</v>
      </c>
    </row>
    <row r="6" spans="1:18" ht="18.75" x14ac:dyDescent="0.3">
      <c r="A6" s="90" t="s">
        <v>0</v>
      </c>
      <c r="B6" s="11" t="s">
        <v>1</v>
      </c>
      <c r="C6" s="22">
        <v>590000</v>
      </c>
      <c r="D6" s="22">
        <f>C6+10000</f>
        <v>600000</v>
      </c>
      <c r="E6" s="18">
        <f>39656.85+40295.33+44324.47+50538.33+56592.72+46702.05+43881.77+54648.97+60845.76+48593.58</f>
        <v>486079.83</v>
      </c>
      <c r="F6" s="14">
        <f>D6-E6</f>
        <v>113920.16999999998</v>
      </c>
      <c r="H6" s="90" t="s">
        <v>0</v>
      </c>
      <c r="I6" s="11" t="s">
        <v>1</v>
      </c>
      <c r="J6" s="22"/>
      <c r="K6" s="18">
        <f>8838.8+1261.5</f>
        <v>10100.299999999999</v>
      </c>
      <c r="L6" s="14">
        <f>J6-K6</f>
        <v>-10100.299999999999</v>
      </c>
      <c r="N6" s="90" t="s">
        <v>0</v>
      </c>
      <c r="O6" s="11" t="s">
        <v>1</v>
      </c>
      <c r="P6" s="22"/>
      <c r="Q6" s="18"/>
      <c r="R6" s="14">
        <f>P6-Q6</f>
        <v>0</v>
      </c>
    </row>
    <row r="7" spans="1:18" ht="18.75" x14ac:dyDescent="0.3">
      <c r="A7" s="91"/>
      <c r="B7" s="3" t="s">
        <v>2</v>
      </c>
      <c r="C7" s="23">
        <f>SUM(C8:C11)</f>
        <v>28000</v>
      </c>
      <c r="D7" s="22">
        <f t="shared" ref="D7:D34" si="0">C7</f>
        <v>28000</v>
      </c>
      <c r="E7" s="17">
        <f>SUM(E8:E11)</f>
        <v>21515.969999999998</v>
      </c>
      <c r="F7" s="15">
        <f t="shared" ref="F7:F35" si="1">D7-E7</f>
        <v>6484.0300000000025</v>
      </c>
      <c r="H7" s="91"/>
      <c r="I7" s="3" t="s">
        <v>2</v>
      </c>
      <c r="J7" s="23"/>
      <c r="K7" s="17"/>
      <c r="L7" s="15">
        <f t="shared" ref="L7:L11" si="2">J7-K7</f>
        <v>0</v>
      </c>
      <c r="N7" s="91"/>
      <c r="O7" s="3" t="s">
        <v>2</v>
      </c>
      <c r="P7" s="23"/>
      <c r="Q7" s="17"/>
      <c r="R7" s="15">
        <f t="shared" ref="R7:R11" si="3">P7-Q7</f>
        <v>0</v>
      </c>
    </row>
    <row r="8" spans="1:18" ht="18.75" x14ac:dyDescent="0.3">
      <c r="A8" s="7" t="s">
        <v>3</v>
      </c>
      <c r="B8" s="4" t="s">
        <v>4</v>
      </c>
      <c r="C8" s="24">
        <v>5000</v>
      </c>
      <c r="D8" s="22">
        <f t="shared" si="0"/>
        <v>5000</v>
      </c>
      <c r="E8" s="19">
        <f>750+925+1075+1000+500</f>
        <v>4250</v>
      </c>
      <c r="F8" s="16">
        <f t="shared" si="1"/>
        <v>750</v>
      </c>
      <c r="H8" s="7" t="s">
        <v>3</v>
      </c>
      <c r="I8" s="4" t="s">
        <v>4</v>
      </c>
      <c r="J8" s="24"/>
      <c r="K8" s="19"/>
      <c r="L8" s="16">
        <f t="shared" si="2"/>
        <v>0</v>
      </c>
      <c r="N8" s="7" t="s">
        <v>3</v>
      </c>
      <c r="O8" s="4" t="s">
        <v>4</v>
      </c>
      <c r="P8" s="24"/>
      <c r="Q8" s="19"/>
      <c r="R8" s="16">
        <f t="shared" si="3"/>
        <v>0</v>
      </c>
    </row>
    <row r="9" spans="1:18" ht="18.75" x14ac:dyDescent="0.3">
      <c r="A9" s="7" t="s">
        <v>5</v>
      </c>
      <c r="B9" s="4" t="s">
        <v>6</v>
      </c>
      <c r="C9" s="24">
        <v>20000</v>
      </c>
      <c r="D9" s="22">
        <f t="shared" si="0"/>
        <v>20000</v>
      </c>
      <c r="E9" s="19">
        <f>750.22+723.76+723.76+723.76+723.76+763.15+823.15+823.15+823.15+9223.15</f>
        <v>16101.009999999998</v>
      </c>
      <c r="F9" s="16">
        <f t="shared" si="1"/>
        <v>3898.9900000000016</v>
      </c>
      <c r="H9" s="7" t="s">
        <v>5</v>
      </c>
      <c r="I9" s="4" t="s">
        <v>6</v>
      </c>
      <c r="J9" s="24"/>
      <c r="K9" s="19"/>
      <c r="L9" s="16">
        <f t="shared" si="2"/>
        <v>0</v>
      </c>
      <c r="N9" s="7" t="s">
        <v>5</v>
      </c>
      <c r="O9" s="4" t="s">
        <v>6</v>
      </c>
      <c r="P9" s="24"/>
      <c r="Q9" s="19"/>
      <c r="R9" s="16">
        <f t="shared" si="3"/>
        <v>0</v>
      </c>
    </row>
    <row r="10" spans="1:18" ht="18.75" x14ac:dyDescent="0.3">
      <c r="A10" s="7" t="s">
        <v>7</v>
      </c>
      <c r="B10" s="4" t="s">
        <v>8</v>
      </c>
      <c r="C10" s="21"/>
      <c r="D10" s="22">
        <f t="shared" si="0"/>
        <v>0</v>
      </c>
      <c r="E10" s="19"/>
      <c r="F10" s="16">
        <f t="shared" si="1"/>
        <v>0</v>
      </c>
      <c r="H10" s="7" t="s">
        <v>7</v>
      </c>
      <c r="I10" s="4" t="s">
        <v>8</v>
      </c>
      <c r="J10" s="21"/>
      <c r="K10" s="19"/>
      <c r="L10" s="16">
        <f t="shared" si="2"/>
        <v>0</v>
      </c>
      <c r="N10" s="7" t="s">
        <v>7</v>
      </c>
      <c r="O10" s="4" t="s">
        <v>8</v>
      </c>
      <c r="P10" s="21"/>
      <c r="Q10" s="19"/>
      <c r="R10" s="16">
        <f t="shared" si="3"/>
        <v>0</v>
      </c>
    </row>
    <row r="11" spans="1:18" ht="18.75" x14ac:dyDescent="0.3">
      <c r="A11" s="7" t="s">
        <v>9</v>
      </c>
      <c r="B11" s="4" t="s">
        <v>10</v>
      </c>
      <c r="C11" s="24">
        <v>3000</v>
      </c>
      <c r="D11" s="22">
        <f t="shared" si="0"/>
        <v>3000</v>
      </c>
      <c r="E11" s="19">
        <f>317.08+153.39+267.14+187.34+240.01</f>
        <v>1164.96</v>
      </c>
      <c r="F11" s="16">
        <f t="shared" si="1"/>
        <v>1835.04</v>
      </c>
      <c r="H11" s="7" t="s">
        <v>9</v>
      </c>
      <c r="I11" s="4" t="s">
        <v>10</v>
      </c>
      <c r="J11" s="24"/>
      <c r="K11" s="19"/>
      <c r="L11" s="16">
        <f t="shared" si="2"/>
        <v>0</v>
      </c>
      <c r="N11" s="7" t="s">
        <v>9</v>
      </c>
      <c r="O11" s="4" t="s">
        <v>10</v>
      </c>
      <c r="P11" s="24"/>
      <c r="Q11" s="19"/>
      <c r="R11" s="16">
        <f t="shared" si="3"/>
        <v>0</v>
      </c>
    </row>
    <row r="12" spans="1:18" ht="18.75" x14ac:dyDescent="0.3">
      <c r="A12" s="7"/>
      <c r="B12" s="4"/>
      <c r="C12" s="24"/>
      <c r="D12" s="22">
        <f t="shared" si="0"/>
        <v>0</v>
      </c>
      <c r="E12" s="19"/>
      <c r="F12" s="16"/>
      <c r="H12" s="7"/>
      <c r="I12" s="4"/>
      <c r="J12" s="24"/>
      <c r="K12" s="19"/>
      <c r="L12" s="16"/>
      <c r="N12" s="7"/>
      <c r="O12" s="4"/>
      <c r="P12" s="24"/>
      <c r="Q12" s="19"/>
      <c r="R12" s="16"/>
    </row>
    <row r="13" spans="1:18" ht="18.75" x14ac:dyDescent="0.3">
      <c r="A13" s="7" t="s">
        <v>11</v>
      </c>
      <c r="B13" s="3" t="s">
        <v>12</v>
      </c>
      <c r="C13" s="23">
        <f>SUM(C14:C17)</f>
        <v>144117.59999999998</v>
      </c>
      <c r="D13" s="22">
        <f>D14+D15+D16+D17</f>
        <v>146449.59999999998</v>
      </c>
      <c r="E13" s="23">
        <f>SUM(E14:E17)</f>
        <v>110444.19</v>
      </c>
      <c r="F13" s="15">
        <f>D13-E13</f>
        <v>36005.409999999974</v>
      </c>
      <c r="H13" s="7" t="s">
        <v>11</v>
      </c>
      <c r="I13" s="3" t="s">
        <v>12</v>
      </c>
      <c r="J13" s="23"/>
      <c r="K13" s="23">
        <f>K14+K15+K16+K17</f>
        <v>2338.6999999999998</v>
      </c>
      <c r="L13" s="15">
        <f>J13-K13</f>
        <v>-2338.6999999999998</v>
      </c>
      <c r="N13" s="7" t="s">
        <v>11</v>
      </c>
      <c r="O13" s="3" t="s">
        <v>12</v>
      </c>
      <c r="P13" s="23"/>
      <c r="Q13" s="23"/>
      <c r="R13" s="15">
        <f>P13-Q13</f>
        <v>0</v>
      </c>
    </row>
    <row r="14" spans="1:18" ht="18.75" x14ac:dyDescent="0.3">
      <c r="A14" s="7" t="s">
        <v>13</v>
      </c>
      <c r="B14" s="4" t="s">
        <v>14</v>
      </c>
      <c r="C14" s="24">
        <f>(C6+C7)*11.42%</f>
        <v>70575.599999999991</v>
      </c>
      <c r="D14" s="22">
        <f>C14+1142</f>
        <v>71717.599999999991</v>
      </c>
      <c r="E14" s="19">
        <f>4773.81+4821.94+5289.16+6088.51+6339.55+5158.35+5203.75+6491.47+6750.75+5787.79</f>
        <v>56705.08</v>
      </c>
      <c r="F14" s="16">
        <f>D14-E14</f>
        <v>15012.51999999999</v>
      </c>
      <c r="H14" s="7" t="s">
        <v>13</v>
      </c>
      <c r="I14" s="4" t="s">
        <v>14</v>
      </c>
      <c r="J14" s="24"/>
      <c r="K14" s="19">
        <f>1009.4+144.07</f>
        <v>1153.47</v>
      </c>
      <c r="L14" s="16">
        <f>J14-K14</f>
        <v>-1153.47</v>
      </c>
      <c r="N14" s="7" t="s">
        <v>13</v>
      </c>
      <c r="O14" s="4" t="s">
        <v>14</v>
      </c>
      <c r="P14" s="24"/>
      <c r="Q14" s="19"/>
      <c r="R14" s="16">
        <f>P14-Q14</f>
        <v>0</v>
      </c>
    </row>
    <row r="15" spans="1:18" ht="18.75" x14ac:dyDescent="0.3">
      <c r="A15" s="7" t="s">
        <v>15</v>
      </c>
      <c r="B15" s="4" t="s">
        <v>16</v>
      </c>
      <c r="C15" s="24">
        <f>(C6+C7)*4.3%</f>
        <v>26573.999999999996</v>
      </c>
      <c r="D15" s="22">
        <f>C15+430</f>
        <v>27003.999999999996</v>
      </c>
      <c r="E15" s="19">
        <f>1561.59+1620.97+1768.38+1992.04+2105.28+1753.34+1759.8+2148.72+2243.03+1909.64</f>
        <v>18862.789999999997</v>
      </c>
      <c r="F15" s="16">
        <f>D15-E15</f>
        <v>8141.2099999999991</v>
      </c>
      <c r="H15" s="7" t="s">
        <v>15</v>
      </c>
      <c r="I15" s="4" t="s">
        <v>16</v>
      </c>
      <c r="J15" s="24"/>
      <c r="K15" s="19">
        <f>380.04+35.32</f>
        <v>415.36</v>
      </c>
      <c r="L15" s="16">
        <f>J15-K15</f>
        <v>-415.36</v>
      </c>
      <c r="N15" s="7" t="s">
        <v>15</v>
      </c>
      <c r="O15" s="4" t="s">
        <v>16</v>
      </c>
      <c r="P15" s="24"/>
      <c r="Q15" s="19"/>
      <c r="R15" s="16">
        <f>P15-Q15</f>
        <v>0</v>
      </c>
    </row>
    <row r="16" spans="1:18" ht="18.75" x14ac:dyDescent="0.3">
      <c r="A16" s="7" t="s">
        <v>17</v>
      </c>
      <c r="B16" s="4" t="s">
        <v>18</v>
      </c>
      <c r="C16" s="24">
        <f>(C6+C7)*4.8%</f>
        <v>29664</v>
      </c>
      <c r="D16" s="22">
        <f>C16+480</f>
        <v>30144</v>
      </c>
      <c r="E16" s="19">
        <f>2022.39+2016.88+2200.55+2549.61+2667.8+2131.66+2140.16+2633.45+2743.33+2362.67</f>
        <v>23468.5</v>
      </c>
      <c r="F16" s="16">
        <f t="shared" ref="F16:F17" si="4">D16-E16</f>
        <v>6675.5</v>
      </c>
      <c r="H16" s="7" t="s">
        <v>17</v>
      </c>
      <c r="I16" s="4" t="s">
        <v>18</v>
      </c>
      <c r="J16" s="24"/>
      <c r="K16" s="19">
        <f>424.26+60.55</f>
        <v>484.81</v>
      </c>
      <c r="L16" s="16">
        <f t="shared" ref="L16:L17" si="5">J16-K16</f>
        <v>-484.81</v>
      </c>
      <c r="N16" s="7" t="s">
        <v>17</v>
      </c>
      <c r="O16" s="4" t="s">
        <v>18</v>
      </c>
      <c r="P16" s="24"/>
      <c r="Q16" s="19"/>
      <c r="R16" s="16">
        <f t="shared" ref="R16:R17" si="6">P16-Q16</f>
        <v>0</v>
      </c>
    </row>
    <row r="17" spans="1:18" ht="18.75" x14ac:dyDescent="0.3">
      <c r="A17" s="7" t="s">
        <v>19</v>
      </c>
      <c r="B17" s="4" t="s">
        <v>20</v>
      </c>
      <c r="C17" s="24">
        <f>(C6+C7)*2.8%</f>
        <v>17304</v>
      </c>
      <c r="D17" s="22">
        <f>C17+280</f>
        <v>17584</v>
      </c>
      <c r="E17" s="19">
        <f>958.22+974.01+1064.15+1235.05+1273.58+1003.49+1040.96+1310.11+1376.56+1171.69</f>
        <v>11407.82</v>
      </c>
      <c r="F17" s="16">
        <f t="shared" si="4"/>
        <v>6176.18</v>
      </c>
      <c r="H17" s="7" t="s">
        <v>19</v>
      </c>
      <c r="I17" s="4" t="s">
        <v>20</v>
      </c>
      <c r="J17" s="24"/>
      <c r="K17" s="19">
        <f>247.5+37.56</f>
        <v>285.06</v>
      </c>
      <c r="L17" s="16">
        <f t="shared" si="5"/>
        <v>-285.06</v>
      </c>
      <c r="N17" s="7" t="s">
        <v>19</v>
      </c>
      <c r="O17" s="4" t="s">
        <v>20</v>
      </c>
      <c r="P17" s="24"/>
      <c r="Q17" s="19"/>
      <c r="R17" s="16">
        <f t="shared" si="6"/>
        <v>0</v>
      </c>
    </row>
    <row r="18" spans="1:18" ht="18.75" x14ac:dyDescent="0.3">
      <c r="A18" s="47"/>
      <c r="B18" s="4"/>
      <c r="C18" s="24"/>
      <c r="D18" s="22">
        <f t="shared" si="0"/>
        <v>0</v>
      </c>
      <c r="E18" s="19"/>
      <c r="F18" s="16"/>
      <c r="H18" s="47"/>
      <c r="I18" s="4"/>
      <c r="J18" s="24"/>
      <c r="K18" s="19"/>
      <c r="L18" s="16"/>
      <c r="N18" s="47"/>
      <c r="O18" s="4"/>
      <c r="P18" s="24"/>
      <c r="Q18" s="19"/>
      <c r="R18" s="16"/>
    </row>
    <row r="19" spans="1:18" ht="18.75" x14ac:dyDescent="0.3">
      <c r="A19" s="48" t="s">
        <v>40</v>
      </c>
      <c r="B19" s="4" t="s">
        <v>29</v>
      </c>
      <c r="C19" s="24">
        <f>SUM(C20:C29)</f>
        <v>104638</v>
      </c>
      <c r="D19" s="22">
        <f>D20+D21+D22+D23+D24+D25+D26+D27+D28+D29</f>
        <v>127143.59</v>
      </c>
      <c r="E19" s="17">
        <f>SUM(E20:E29)</f>
        <v>100493.90000000001</v>
      </c>
      <c r="F19" s="15">
        <f t="shared" si="1"/>
        <v>26649.689999999988</v>
      </c>
      <c r="H19" s="48" t="s">
        <v>40</v>
      </c>
      <c r="I19" s="4" t="s">
        <v>29</v>
      </c>
      <c r="J19" s="24"/>
      <c r="K19" s="17">
        <f>K20+K21+K22+K23+K24+K25+K26+K27+K28+K29</f>
        <v>1959.9999999999998</v>
      </c>
      <c r="L19" s="15">
        <f>J19-K19</f>
        <v>-1959.9999999999998</v>
      </c>
      <c r="N19" s="48" t="s">
        <v>40</v>
      </c>
      <c r="O19" s="4" t="s">
        <v>29</v>
      </c>
      <c r="P19" s="24"/>
      <c r="Q19" s="17"/>
      <c r="R19" s="15">
        <f>P19-Q19</f>
        <v>0</v>
      </c>
    </row>
    <row r="20" spans="1:18" ht="18.75" x14ac:dyDescent="0.3">
      <c r="A20" s="43" t="s">
        <v>21</v>
      </c>
      <c r="B20" s="44" t="s">
        <v>22</v>
      </c>
      <c r="C20" s="45">
        <v>35000</v>
      </c>
      <c r="D20" s="22">
        <f t="shared" si="0"/>
        <v>35000</v>
      </c>
      <c r="E20" s="49">
        <f>3246+3872+3105.5+3168+2812.5+2052.5+327.76+4923.3</f>
        <v>23507.559999999998</v>
      </c>
      <c r="F20" s="16">
        <f t="shared" si="1"/>
        <v>11492.440000000002</v>
      </c>
      <c r="H20" s="43" t="s">
        <v>21</v>
      </c>
      <c r="I20" s="44" t="s">
        <v>22</v>
      </c>
      <c r="J20" s="45"/>
      <c r="K20" s="49"/>
      <c r="L20" s="16">
        <f t="shared" ref="L20" si="7">J20-K20</f>
        <v>0</v>
      </c>
      <c r="N20" s="43" t="s">
        <v>21</v>
      </c>
      <c r="O20" s="44" t="s">
        <v>22</v>
      </c>
      <c r="P20" s="45"/>
      <c r="Q20" s="49"/>
      <c r="R20" s="16">
        <f t="shared" ref="R20" si="8">P20-Q20</f>
        <v>0</v>
      </c>
    </row>
    <row r="21" spans="1:18" ht="18.75" x14ac:dyDescent="0.3">
      <c r="A21" s="43" t="s">
        <v>41</v>
      </c>
      <c r="B21" s="44" t="s">
        <v>30</v>
      </c>
      <c r="C21" s="45"/>
      <c r="D21" s="22">
        <f t="shared" si="0"/>
        <v>0</v>
      </c>
      <c r="E21" s="46"/>
      <c r="F21" s="15"/>
      <c r="H21" s="43" t="s">
        <v>41</v>
      </c>
      <c r="I21" s="44" t="s">
        <v>30</v>
      </c>
      <c r="J21" s="45"/>
      <c r="K21" s="46"/>
      <c r="L21" s="15"/>
      <c r="N21" s="43" t="s">
        <v>41</v>
      </c>
      <c r="O21" s="44" t="s">
        <v>30</v>
      </c>
      <c r="P21" s="45"/>
      <c r="Q21" s="46"/>
      <c r="R21" s="15"/>
    </row>
    <row r="22" spans="1:18" ht="18.75" x14ac:dyDescent="0.3">
      <c r="A22" s="43" t="s">
        <v>42</v>
      </c>
      <c r="B22" s="44" t="s">
        <v>31</v>
      </c>
      <c r="C22" s="45">
        <v>1000</v>
      </c>
      <c r="D22" s="22">
        <f t="shared" si="0"/>
        <v>1000</v>
      </c>
      <c r="E22" s="49">
        <f>900</f>
        <v>900</v>
      </c>
      <c r="F22" s="16">
        <f t="shared" si="1"/>
        <v>100</v>
      </c>
      <c r="H22" s="43" t="s">
        <v>42</v>
      </c>
      <c r="I22" s="44" t="s">
        <v>31</v>
      </c>
      <c r="J22" s="45"/>
      <c r="K22" s="49"/>
      <c r="L22" s="16">
        <f t="shared" ref="L22:L23" si="9">J22-K22</f>
        <v>0</v>
      </c>
      <c r="N22" s="43" t="s">
        <v>42</v>
      </c>
      <c r="O22" s="44" t="s">
        <v>31</v>
      </c>
      <c r="P22" s="45"/>
      <c r="Q22" s="49"/>
      <c r="R22" s="16">
        <f t="shared" ref="R22:R23" si="10">P22-Q22</f>
        <v>0</v>
      </c>
    </row>
    <row r="23" spans="1:18" ht="18.75" x14ac:dyDescent="0.3">
      <c r="A23" s="7" t="s">
        <v>23</v>
      </c>
      <c r="B23" s="12" t="s">
        <v>24</v>
      </c>
      <c r="C23" s="21"/>
      <c r="D23" s="22">
        <f>C23+7331.03</f>
        <v>7331.03</v>
      </c>
      <c r="E23" s="19">
        <f>7811.9</f>
        <v>7811.9</v>
      </c>
      <c r="F23" s="16">
        <f t="shared" si="1"/>
        <v>-480.86999999999989</v>
      </c>
      <c r="H23" s="7" t="s">
        <v>23</v>
      </c>
      <c r="I23" s="12" t="s">
        <v>24</v>
      </c>
      <c r="J23" s="21"/>
      <c r="K23" s="19"/>
      <c r="L23" s="16">
        <f t="shared" si="9"/>
        <v>0</v>
      </c>
      <c r="N23" s="7" t="s">
        <v>23</v>
      </c>
      <c r="O23" s="12" t="s">
        <v>24</v>
      </c>
      <c r="P23" s="21"/>
      <c r="Q23" s="19"/>
      <c r="R23" s="16">
        <f t="shared" si="10"/>
        <v>0</v>
      </c>
    </row>
    <row r="24" spans="1:18" ht="18.75" x14ac:dyDescent="0.3">
      <c r="A24" s="7" t="s">
        <v>32</v>
      </c>
      <c r="B24" s="12" t="s">
        <v>33</v>
      </c>
      <c r="C24" s="24">
        <v>10000</v>
      </c>
      <c r="D24" s="22">
        <f>C24+11652</f>
        <v>21652</v>
      </c>
      <c r="E24" s="19">
        <f>410.08+3595.84+620.4+2669.94+98.8+1936.31+1220.9+1760+2055.4+978.02+523</f>
        <v>15868.69</v>
      </c>
      <c r="F24" s="16">
        <f>D24-E24</f>
        <v>5783.3099999999995</v>
      </c>
      <c r="H24" s="7" t="s">
        <v>32</v>
      </c>
      <c r="I24" s="12" t="s">
        <v>33</v>
      </c>
      <c r="J24" s="24"/>
      <c r="K24" s="19">
        <f>178+232.08+1095.12</f>
        <v>1505.1999999999998</v>
      </c>
      <c r="L24" s="16">
        <f>J24-K24</f>
        <v>-1505.1999999999998</v>
      </c>
      <c r="N24" s="7" t="s">
        <v>32</v>
      </c>
      <c r="O24" s="12" t="s">
        <v>33</v>
      </c>
      <c r="P24" s="57">
        <f>20466.24+57835.48</f>
        <v>78301.72</v>
      </c>
      <c r="Q24" s="19">
        <f>75239.19+3618.25-555.72</f>
        <v>78301.72</v>
      </c>
      <c r="R24" s="16">
        <f>P24-Q24</f>
        <v>0</v>
      </c>
    </row>
    <row r="25" spans="1:18" ht="18.75" x14ac:dyDescent="0.3">
      <c r="A25" s="7" t="s">
        <v>34</v>
      </c>
      <c r="B25" s="4" t="s">
        <v>35</v>
      </c>
      <c r="C25" s="24">
        <v>16638</v>
      </c>
      <c r="D25" s="22">
        <f t="shared" si="0"/>
        <v>16638</v>
      </c>
      <c r="E25" s="19">
        <f>233.79+240.68+242.51+345.23+229.06+202.49+187.93+11044.84+134.45+194.3+175.49</f>
        <v>13230.77</v>
      </c>
      <c r="F25" s="16">
        <f>D25-E25</f>
        <v>3407.2299999999996</v>
      </c>
      <c r="H25" s="7" t="s">
        <v>34</v>
      </c>
      <c r="I25" s="4" t="s">
        <v>35</v>
      </c>
      <c r="J25" s="24"/>
      <c r="K25" s="19"/>
      <c r="L25" s="16">
        <f>J25-K25</f>
        <v>0</v>
      </c>
      <c r="N25" s="7" t="s">
        <v>34</v>
      </c>
      <c r="O25" s="4" t="s">
        <v>35</v>
      </c>
      <c r="P25" s="24"/>
      <c r="Q25" s="19"/>
      <c r="R25" s="16">
        <f>P25-Q25</f>
        <v>0</v>
      </c>
    </row>
    <row r="26" spans="1:18" ht="18.75" x14ac:dyDescent="0.3">
      <c r="A26" s="42" t="s">
        <v>44</v>
      </c>
      <c r="B26" s="12" t="s">
        <v>25</v>
      </c>
      <c r="C26" s="24">
        <v>30000</v>
      </c>
      <c r="D26" s="22">
        <f>C26+3522.56</f>
        <v>33522.559999999998</v>
      </c>
      <c r="E26" s="19">
        <f>584.22+2186.87+656.74+1297.43+5163.95+2776.24+1093.98+320.89+3074.07+3665.83+17350.96</f>
        <v>38171.18</v>
      </c>
      <c r="F26" s="15">
        <f t="shared" si="1"/>
        <v>-4648.6200000000026</v>
      </c>
      <c r="H26" s="42" t="s">
        <v>44</v>
      </c>
      <c r="I26" s="12" t="s">
        <v>25</v>
      </c>
      <c r="J26" s="24"/>
      <c r="K26" s="19">
        <f>454.8</f>
        <v>454.8</v>
      </c>
      <c r="L26" s="15">
        <f t="shared" ref="L26:L28" si="11">J26-K26</f>
        <v>-454.8</v>
      </c>
      <c r="N26" s="42" t="s">
        <v>44</v>
      </c>
      <c r="O26" s="12" t="s">
        <v>25</v>
      </c>
      <c r="P26" s="24"/>
      <c r="Q26" s="19"/>
      <c r="R26" s="15">
        <f t="shared" ref="R26:R33" si="12">P26-Q26</f>
        <v>0</v>
      </c>
    </row>
    <row r="27" spans="1:18" ht="18.75" x14ac:dyDescent="0.3">
      <c r="A27" s="42" t="s">
        <v>36</v>
      </c>
      <c r="B27" s="12" t="s">
        <v>37</v>
      </c>
      <c r="C27" s="24">
        <v>10000</v>
      </c>
      <c r="D27" s="22">
        <f t="shared" si="0"/>
        <v>10000</v>
      </c>
      <c r="E27" s="19"/>
      <c r="F27" s="16">
        <f t="shared" si="1"/>
        <v>10000</v>
      </c>
      <c r="H27" s="42" t="s">
        <v>36</v>
      </c>
      <c r="I27" s="12" t="s">
        <v>37</v>
      </c>
      <c r="J27" s="24"/>
      <c r="K27" s="19"/>
      <c r="L27" s="16">
        <f t="shared" si="11"/>
        <v>0</v>
      </c>
      <c r="N27" s="42" t="s">
        <v>36</v>
      </c>
      <c r="O27" s="12" t="s">
        <v>37</v>
      </c>
      <c r="P27" s="24"/>
      <c r="Q27" s="19"/>
      <c r="R27" s="16">
        <f t="shared" si="12"/>
        <v>0</v>
      </c>
    </row>
    <row r="28" spans="1:18" ht="18.75" x14ac:dyDescent="0.3">
      <c r="A28" s="42" t="s">
        <v>45</v>
      </c>
      <c r="B28" s="12" t="s">
        <v>38</v>
      </c>
      <c r="C28" s="24">
        <v>2000</v>
      </c>
      <c r="D28" s="22">
        <f t="shared" si="0"/>
        <v>2000</v>
      </c>
      <c r="E28" s="19">
        <f>50+50+148+276+246+97+48.8+88</f>
        <v>1003.8</v>
      </c>
      <c r="F28" s="16">
        <f t="shared" si="1"/>
        <v>996.2</v>
      </c>
      <c r="H28" s="42" t="s">
        <v>45</v>
      </c>
      <c r="I28" s="12" t="s">
        <v>38</v>
      </c>
      <c r="J28" s="24"/>
      <c r="K28" s="19"/>
      <c r="L28" s="16">
        <f t="shared" si="11"/>
        <v>0</v>
      </c>
      <c r="N28" s="7" t="s">
        <v>74</v>
      </c>
      <c r="O28" s="12" t="s">
        <v>120</v>
      </c>
      <c r="P28" s="57">
        <v>27137.3</v>
      </c>
      <c r="Q28" s="19">
        <v>27137.31</v>
      </c>
      <c r="R28" s="16">
        <f t="shared" si="12"/>
        <v>-1.0000000002037268E-2</v>
      </c>
    </row>
    <row r="29" spans="1:18" ht="18.75" x14ac:dyDescent="0.3">
      <c r="A29" s="42" t="s">
        <v>46</v>
      </c>
      <c r="B29" s="12" t="s">
        <v>49</v>
      </c>
      <c r="C29" s="24"/>
      <c r="D29" s="22">
        <f t="shared" si="0"/>
        <v>0</v>
      </c>
      <c r="E29" s="19"/>
      <c r="F29" s="16"/>
      <c r="H29" s="42" t="s">
        <v>46</v>
      </c>
      <c r="I29" s="12" t="s">
        <v>49</v>
      </c>
      <c r="J29" s="24"/>
      <c r="K29" s="19"/>
      <c r="L29" s="16"/>
      <c r="N29" s="42" t="s">
        <v>132</v>
      </c>
      <c r="O29" s="12" t="s">
        <v>121</v>
      </c>
      <c r="P29" s="57">
        <v>29903.759999999998</v>
      </c>
      <c r="Q29" s="19">
        <f>15310.08+14593.68</f>
        <v>29903.760000000002</v>
      </c>
      <c r="R29" s="16">
        <f t="shared" si="12"/>
        <v>0</v>
      </c>
    </row>
    <row r="30" spans="1:18" ht="18.75" x14ac:dyDescent="0.3">
      <c r="A30" s="42" t="s">
        <v>47</v>
      </c>
      <c r="B30" s="12" t="s">
        <v>50</v>
      </c>
      <c r="C30" s="24">
        <v>300</v>
      </c>
      <c r="D30" s="22">
        <f t="shared" si="0"/>
        <v>300</v>
      </c>
      <c r="E30" s="19">
        <v>280.86</v>
      </c>
      <c r="F30" s="16">
        <f t="shared" si="1"/>
        <v>19.139999999999986</v>
      </c>
      <c r="H30" s="42" t="s">
        <v>47</v>
      </c>
      <c r="I30" s="12" t="s">
        <v>50</v>
      </c>
      <c r="J30" s="24"/>
      <c r="K30" s="19"/>
      <c r="L30" s="16">
        <f t="shared" ref="L30:L33" si="13">J30-K30</f>
        <v>0</v>
      </c>
      <c r="N30" s="42" t="s">
        <v>133</v>
      </c>
      <c r="O30" s="12" t="s">
        <v>122</v>
      </c>
      <c r="P30" s="57">
        <v>39744.57</v>
      </c>
      <c r="Q30" s="19">
        <f>31993.41+555.73</f>
        <v>32549.14</v>
      </c>
      <c r="R30" s="16">
        <f t="shared" si="12"/>
        <v>7195.43</v>
      </c>
    </row>
    <row r="31" spans="1:18" ht="18.75" x14ac:dyDescent="0.3">
      <c r="A31" s="7" t="s">
        <v>48</v>
      </c>
      <c r="B31" s="12" t="s">
        <v>51</v>
      </c>
      <c r="C31" s="24"/>
      <c r="D31" s="22">
        <f t="shared" si="0"/>
        <v>0</v>
      </c>
      <c r="E31" s="19"/>
      <c r="F31" s="16">
        <f t="shared" si="1"/>
        <v>0</v>
      </c>
      <c r="H31" s="7" t="s">
        <v>48</v>
      </c>
      <c r="I31" s="12" t="s">
        <v>51</v>
      </c>
      <c r="J31" s="24"/>
      <c r="K31" s="19"/>
      <c r="L31" s="16">
        <f t="shared" si="13"/>
        <v>0</v>
      </c>
      <c r="N31" s="7" t="s">
        <v>48</v>
      </c>
      <c r="O31" s="12" t="s">
        <v>51</v>
      </c>
      <c r="P31" s="24"/>
      <c r="Q31" s="19"/>
      <c r="R31" s="16">
        <f t="shared" si="12"/>
        <v>0</v>
      </c>
    </row>
    <row r="32" spans="1:18" ht="18.75" x14ac:dyDescent="0.3">
      <c r="A32" s="7" t="s">
        <v>74</v>
      </c>
      <c r="B32" s="12" t="s">
        <v>72</v>
      </c>
      <c r="C32" s="24">
        <v>1200</v>
      </c>
      <c r="D32" s="22">
        <f t="shared" si="0"/>
        <v>1200</v>
      </c>
      <c r="E32" s="74"/>
      <c r="F32" s="16">
        <f t="shared" si="1"/>
        <v>1200</v>
      </c>
      <c r="H32" s="13" t="s">
        <v>56</v>
      </c>
      <c r="I32" s="12" t="s">
        <v>57</v>
      </c>
      <c r="J32" s="25">
        <f>7057+6650+4932</f>
        <v>18639</v>
      </c>
      <c r="K32" s="19"/>
      <c r="L32" s="16">
        <f>J32-K34</f>
        <v>4240</v>
      </c>
      <c r="N32" s="13" t="s">
        <v>56</v>
      </c>
      <c r="O32" s="12" t="s">
        <v>57</v>
      </c>
      <c r="P32" s="71">
        <f>88273.22+51909.65+25459.75+3648.4</f>
        <v>169291.02</v>
      </c>
      <c r="Q32" s="19"/>
      <c r="R32" s="16">
        <f>P32-Q34</f>
        <v>1399.0899999999965</v>
      </c>
    </row>
    <row r="33" spans="1:18" ht="18.75" x14ac:dyDescent="0.3">
      <c r="A33" s="7" t="s">
        <v>75</v>
      </c>
      <c r="B33" s="12" t="s">
        <v>73</v>
      </c>
      <c r="C33" s="24">
        <v>3000</v>
      </c>
      <c r="D33" s="22">
        <f t="shared" si="0"/>
        <v>3000</v>
      </c>
      <c r="E33" s="75">
        <f>2630</f>
        <v>2630</v>
      </c>
      <c r="F33" s="16">
        <f t="shared" si="1"/>
        <v>370</v>
      </c>
      <c r="J33" s="24"/>
      <c r="K33" s="19"/>
      <c r="L33" s="16">
        <f t="shared" si="13"/>
        <v>0</v>
      </c>
      <c r="P33" s="24"/>
      <c r="Q33" s="19"/>
      <c r="R33" s="16">
        <f t="shared" si="12"/>
        <v>0</v>
      </c>
    </row>
    <row r="34" spans="1:18" ht="18.75" x14ac:dyDescent="0.3">
      <c r="A34" s="13" t="s">
        <v>26</v>
      </c>
      <c r="B34" s="12" t="s">
        <v>27</v>
      </c>
      <c r="C34" s="25">
        <v>15985</v>
      </c>
      <c r="D34" s="22">
        <f t="shared" si="0"/>
        <v>15985</v>
      </c>
      <c r="E34" s="19"/>
      <c r="F34" s="16">
        <f t="shared" si="1"/>
        <v>15985</v>
      </c>
      <c r="I34" t="s">
        <v>28</v>
      </c>
      <c r="J34" s="26">
        <f>J32</f>
        <v>18639</v>
      </c>
      <c r="K34" s="55">
        <f>K6+K7+K13+K19+K30+K31</f>
        <v>14399</v>
      </c>
      <c r="L34" s="26">
        <f>J34-K34</f>
        <v>4240</v>
      </c>
      <c r="N34" t="s">
        <v>136</v>
      </c>
      <c r="O34" t="s">
        <v>28</v>
      </c>
      <c r="P34" s="26">
        <v>180758.65</v>
      </c>
      <c r="Q34" s="55">
        <f>Q6+Q24+Q28+Q29+Q307+Q13+Q19+Q30+Q31</f>
        <v>167891.93</v>
      </c>
      <c r="R34" s="26">
        <f>P34-Q34</f>
        <v>12866.720000000001</v>
      </c>
    </row>
    <row r="35" spans="1:18" ht="18.75" x14ac:dyDescent="0.3">
      <c r="C35" s="24"/>
      <c r="D35" s="24"/>
      <c r="E35" s="19"/>
      <c r="F35" s="16">
        <f t="shared" si="1"/>
        <v>0</v>
      </c>
      <c r="J35" s="50"/>
      <c r="K35" s="20"/>
      <c r="N35" t="s">
        <v>135</v>
      </c>
      <c r="P35" s="26">
        <f>114876.54+60210.8</f>
        <v>175087.34</v>
      </c>
      <c r="Q35" s="20"/>
    </row>
    <row r="36" spans="1:18" ht="18.75" x14ac:dyDescent="0.3">
      <c r="B36" t="s">
        <v>28</v>
      </c>
      <c r="C36" s="26">
        <f>C6+C7+C13+C19+C30+C31+C32+C33</f>
        <v>871255.6</v>
      </c>
      <c r="D36" s="26">
        <f>D6+D7+D13+D19+D30+D31+D32+D33</f>
        <v>906093.19</v>
      </c>
      <c r="E36" s="55">
        <f>E6+E7+E13+E19+E30+E31+E33</f>
        <v>721444.75</v>
      </c>
      <c r="F36" s="55">
        <f>F6+F7+F13+F19+F30+F31+F32+F33</f>
        <v>184648.43999999994</v>
      </c>
      <c r="H36" s="1" t="s">
        <v>53</v>
      </c>
      <c r="J36" s="50"/>
      <c r="K36" s="56" t="s">
        <v>54</v>
      </c>
      <c r="N36" s="1" t="s">
        <v>53</v>
      </c>
      <c r="P36" s="50"/>
      <c r="Q36" s="56" t="s">
        <v>54</v>
      </c>
    </row>
    <row r="37" spans="1:18" ht="18" x14ac:dyDescent="0.25">
      <c r="C37" s="50"/>
      <c r="D37" s="50"/>
      <c r="E37" s="20"/>
      <c r="J37" s="50"/>
      <c r="K37" s="20"/>
      <c r="P37" s="50"/>
      <c r="Q37" s="20"/>
    </row>
    <row r="38" spans="1:18" s="28" customFormat="1" ht="18.75" x14ac:dyDescent="0.3">
      <c r="A38" s="1" t="s">
        <v>53</v>
      </c>
      <c r="B38"/>
      <c r="C38" s="50"/>
      <c r="D38" s="50"/>
      <c r="E38" s="56" t="s">
        <v>54</v>
      </c>
      <c r="F38"/>
      <c r="K38" s="29"/>
      <c r="Q38" s="29"/>
    </row>
    <row r="39" spans="1:18" s="28" customFormat="1" ht="21" x14ac:dyDescent="0.35">
      <c r="A39"/>
      <c r="B39"/>
      <c r="C39" s="50"/>
      <c r="D39" s="50"/>
      <c r="E39" s="20"/>
      <c r="F39"/>
      <c r="H39" s="92"/>
      <c r="I39" s="92"/>
      <c r="J39" s="30"/>
      <c r="K39" s="31"/>
      <c r="L39" s="32"/>
      <c r="N39" s="92"/>
      <c r="O39" s="92"/>
      <c r="P39" s="30"/>
      <c r="Q39" s="31"/>
      <c r="R39" s="32"/>
    </row>
    <row r="40" spans="1:18" s="28" customFormat="1" ht="18" x14ac:dyDescent="0.25">
      <c r="E40" s="29"/>
      <c r="I40" s="27"/>
      <c r="J40" s="33"/>
      <c r="K40" s="34"/>
      <c r="L40" s="35"/>
      <c r="O40" s="27"/>
      <c r="P40" s="33"/>
      <c r="Q40" s="34"/>
      <c r="R40" s="35"/>
    </row>
    <row r="41" spans="1:18" s="28" customFormat="1" ht="21" x14ac:dyDescent="0.35">
      <c r="A41" s="92"/>
      <c r="B41" s="92"/>
      <c r="C41" s="30">
        <f>C34-809.76</f>
        <v>15175.24</v>
      </c>
      <c r="D41" s="30"/>
      <c r="E41" s="31"/>
      <c r="F41" s="32"/>
      <c r="I41" s="27"/>
      <c r="J41" s="36"/>
      <c r="K41" s="37"/>
      <c r="L41" s="35"/>
      <c r="O41" s="27"/>
      <c r="P41" s="36"/>
      <c r="Q41" s="37"/>
      <c r="R41" s="35"/>
    </row>
    <row r="42" spans="1:18" s="28" customFormat="1" ht="18" x14ac:dyDescent="0.25">
      <c r="B42" s="27"/>
      <c r="C42" s="33"/>
      <c r="D42" s="33"/>
      <c r="E42" s="34"/>
      <c r="F42" s="35"/>
      <c r="I42" s="27"/>
      <c r="J42" s="36"/>
      <c r="K42" s="37"/>
      <c r="L42" s="35"/>
      <c r="O42" s="27"/>
      <c r="P42" s="36"/>
      <c r="Q42" s="37"/>
      <c r="R42" s="35"/>
    </row>
    <row r="43" spans="1:18" s="28" customFormat="1" ht="18" x14ac:dyDescent="0.25">
      <c r="B43" s="27"/>
      <c r="C43" s="36"/>
      <c r="D43" s="36"/>
      <c r="E43" s="37"/>
      <c r="F43" s="35"/>
      <c r="I43" s="27"/>
      <c r="J43" s="36"/>
      <c r="K43" s="37"/>
      <c r="L43" s="35"/>
      <c r="O43" s="27"/>
      <c r="P43" s="36"/>
      <c r="Q43" s="37"/>
      <c r="R43" s="35"/>
    </row>
    <row r="44" spans="1:18" s="28" customFormat="1" ht="18" x14ac:dyDescent="0.25">
      <c r="B44" s="27"/>
      <c r="C44" s="36"/>
      <c r="D44" s="36"/>
      <c r="E44" s="37"/>
      <c r="F44" s="35"/>
      <c r="I44" s="27"/>
      <c r="J44" s="36"/>
      <c r="K44" s="37"/>
      <c r="L44" s="35"/>
      <c r="O44" s="27"/>
      <c r="P44" s="36"/>
      <c r="Q44" s="37"/>
      <c r="R44" s="35"/>
    </row>
    <row r="45" spans="1:18" s="28" customFormat="1" ht="18" x14ac:dyDescent="0.25">
      <c r="B45" s="27"/>
      <c r="C45" s="36"/>
      <c r="D45" s="36"/>
      <c r="E45" s="37"/>
      <c r="F45" s="35"/>
      <c r="I45" s="27"/>
      <c r="J45" s="36"/>
      <c r="K45" s="37"/>
      <c r="L45" s="35"/>
      <c r="O45" s="27"/>
      <c r="P45" s="36"/>
      <c r="Q45" s="37"/>
      <c r="R45" s="35"/>
    </row>
    <row r="46" spans="1:18" s="28" customFormat="1" ht="18" x14ac:dyDescent="0.25">
      <c r="B46" s="27"/>
      <c r="C46" s="36"/>
      <c r="D46" s="36"/>
      <c r="E46" s="37"/>
      <c r="F46" s="35"/>
      <c r="I46" s="27"/>
      <c r="J46" s="36"/>
      <c r="K46" s="37"/>
      <c r="L46" s="35"/>
      <c r="O46" s="27"/>
      <c r="P46" s="36"/>
      <c r="Q46" s="37"/>
      <c r="R46" s="35"/>
    </row>
    <row r="47" spans="1:18" s="28" customFormat="1" ht="18" x14ac:dyDescent="0.25">
      <c r="B47" s="27"/>
      <c r="C47" s="36"/>
      <c r="D47" s="36"/>
      <c r="E47" s="37"/>
      <c r="F47" s="35"/>
      <c r="I47" s="27"/>
      <c r="J47" s="36"/>
      <c r="K47" s="37"/>
      <c r="L47" s="35"/>
      <c r="O47" s="27"/>
      <c r="P47" s="36"/>
      <c r="Q47" s="37"/>
      <c r="R47" s="35"/>
    </row>
    <row r="48" spans="1:18" s="28" customFormat="1" ht="18" x14ac:dyDescent="0.25">
      <c r="B48" s="27"/>
      <c r="C48" s="36"/>
      <c r="D48" s="36"/>
      <c r="E48" s="37"/>
      <c r="F48" s="35"/>
      <c r="I48" s="27"/>
      <c r="J48" s="36"/>
      <c r="K48" s="37"/>
      <c r="L48" s="35"/>
      <c r="O48" s="27"/>
      <c r="P48" s="36"/>
      <c r="Q48" s="37"/>
      <c r="R48" s="35"/>
    </row>
    <row r="49" spans="1:18" s="28" customFormat="1" ht="18" x14ac:dyDescent="0.25">
      <c r="B49" s="27"/>
      <c r="C49" s="36"/>
      <c r="D49" s="36"/>
      <c r="E49" s="37"/>
      <c r="F49" s="35"/>
      <c r="I49" s="27"/>
      <c r="J49" s="36"/>
      <c r="K49" s="37"/>
      <c r="L49" s="35"/>
      <c r="O49" s="27"/>
      <c r="P49" s="36"/>
      <c r="Q49" s="37"/>
      <c r="R49" s="35"/>
    </row>
    <row r="50" spans="1:18" s="28" customFormat="1" ht="18" x14ac:dyDescent="0.25">
      <c r="B50" s="27"/>
      <c r="C50" s="36"/>
      <c r="D50" s="36"/>
      <c r="E50" s="37"/>
      <c r="F50" s="35"/>
      <c r="I50" s="27"/>
      <c r="J50" s="36"/>
      <c r="K50" s="37"/>
      <c r="L50" s="35"/>
      <c r="O50" s="27"/>
      <c r="P50" s="36"/>
      <c r="Q50" s="37"/>
      <c r="R50" s="35"/>
    </row>
    <row r="51" spans="1:18" s="28" customFormat="1" ht="18" x14ac:dyDescent="0.25">
      <c r="B51" s="27"/>
      <c r="C51" s="36"/>
      <c r="D51" s="36"/>
      <c r="E51" s="37"/>
      <c r="F51" s="35"/>
      <c r="I51" s="27"/>
      <c r="J51" s="36"/>
      <c r="K51" s="37"/>
      <c r="L51" s="35"/>
      <c r="O51" s="27"/>
      <c r="P51" s="36"/>
      <c r="Q51" s="37"/>
      <c r="R51" s="35"/>
    </row>
    <row r="52" spans="1:18" s="28" customFormat="1" ht="18" x14ac:dyDescent="0.25">
      <c r="B52" s="27"/>
      <c r="C52" s="36"/>
      <c r="D52" s="36"/>
      <c r="E52" s="37"/>
      <c r="F52" s="35"/>
      <c r="I52" s="27"/>
      <c r="J52" s="36"/>
      <c r="K52" s="37"/>
      <c r="L52" s="35"/>
      <c r="O52" s="27"/>
      <c r="P52" s="36"/>
      <c r="Q52" s="37"/>
      <c r="R52" s="35"/>
    </row>
    <row r="53" spans="1:18" s="28" customFormat="1" ht="18" x14ac:dyDescent="0.25">
      <c r="B53" s="27"/>
      <c r="C53" s="36"/>
      <c r="D53" s="36"/>
      <c r="E53" s="37"/>
      <c r="F53" s="35"/>
      <c r="J53" s="33"/>
      <c r="K53" s="34"/>
      <c r="L53" s="35"/>
      <c r="P53" s="33"/>
      <c r="Q53" s="34"/>
      <c r="R53" s="35"/>
    </row>
    <row r="54" spans="1:18" s="28" customFormat="1" ht="18" x14ac:dyDescent="0.25">
      <c r="B54" s="27"/>
      <c r="C54" s="36"/>
      <c r="D54" s="36"/>
      <c r="E54" s="37"/>
      <c r="F54" s="35"/>
      <c r="J54" s="35"/>
      <c r="K54" s="34"/>
      <c r="L54" s="35"/>
      <c r="P54" s="35"/>
      <c r="Q54" s="34"/>
      <c r="R54" s="35"/>
    </row>
    <row r="55" spans="1:18" s="28" customFormat="1" ht="18" x14ac:dyDescent="0.25">
      <c r="C55" s="33"/>
      <c r="D55" s="33"/>
      <c r="E55" s="34"/>
      <c r="F55" s="35"/>
      <c r="J55" s="35"/>
      <c r="K55" s="34"/>
      <c r="L55" s="35"/>
      <c r="P55" s="35"/>
      <c r="Q55" s="34"/>
      <c r="R55" s="35"/>
    </row>
    <row r="56" spans="1:18" s="28" customFormat="1" ht="18" x14ac:dyDescent="0.25">
      <c r="C56" s="35"/>
      <c r="D56" s="35"/>
      <c r="E56" s="34"/>
      <c r="F56" s="35"/>
      <c r="H56" s="39"/>
      <c r="J56" s="40"/>
      <c r="K56" s="27"/>
      <c r="N56" s="39"/>
      <c r="P56" s="40"/>
      <c r="Q56" s="27"/>
    </row>
    <row r="57" spans="1:18" s="28" customFormat="1" ht="18" x14ac:dyDescent="0.25">
      <c r="C57" s="35"/>
      <c r="D57" s="35"/>
      <c r="E57" s="34"/>
      <c r="F57" s="35"/>
      <c r="J57" s="41"/>
      <c r="K57" s="41"/>
      <c r="P57" s="41"/>
      <c r="Q57" s="41"/>
    </row>
    <row r="58" spans="1:18" s="28" customFormat="1" ht="18" x14ac:dyDescent="0.25">
      <c r="A58" s="39"/>
      <c r="C58" s="40"/>
      <c r="D58" s="40"/>
      <c r="E58" s="27"/>
      <c r="H58" s="38"/>
      <c r="I58" s="27"/>
      <c r="J58" s="27"/>
      <c r="K58" s="27"/>
      <c r="N58" s="38"/>
      <c r="O58" s="27"/>
      <c r="P58" s="27"/>
      <c r="Q58" s="27"/>
    </row>
    <row r="59" spans="1:18" s="28" customFormat="1" ht="18" x14ac:dyDescent="0.25">
      <c r="C59" s="41"/>
      <c r="D59" s="41"/>
      <c r="E59" s="41"/>
      <c r="I59" s="27"/>
      <c r="J59" s="27"/>
      <c r="K59" s="27"/>
      <c r="O59" s="27"/>
      <c r="P59" s="27"/>
      <c r="Q59" s="27"/>
    </row>
    <row r="60" spans="1:18" s="28" customFormat="1" ht="18" x14ac:dyDescent="0.25">
      <c r="A60" s="38"/>
      <c r="B60" s="27"/>
      <c r="C60" s="27"/>
      <c r="D60" s="27"/>
      <c r="E60" s="27"/>
      <c r="I60" s="27"/>
      <c r="J60" s="27"/>
      <c r="K60" s="27"/>
      <c r="O60" s="27"/>
      <c r="P60" s="27"/>
      <c r="Q60" s="27"/>
    </row>
    <row r="61" spans="1:18" s="28" customFormat="1" ht="18" x14ac:dyDescent="0.25">
      <c r="B61" s="27"/>
      <c r="C61" s="27"/>
      <c r="D61" s="27"/>
      <c r="E61" s="27"/>
      <c r="H61" s="38"/>
      <c r="I61" s="27"/>
      <c r="J61" s="27"/>
      <c r="K61" s="27"/>
      <c r="N61" s="38"/>
      <c r="O61" s="27"/>
      <c r="P61" s="27"/>
      <c r="Q61" s="27"/>
    </row>
    <row r="62" spans="1:18" s="28" customFormat="1" ht="18" x14ac:dyDescent="0.25">
      <c r="B62" s="27"/>
      <c r="C62" s="27"/>
      <c r="D62" s="27"/>
      <c r="E62" s="27"/>
      <c r="H62" s="38"/>
      <c r="I62" s="27"/>
      <c r="J62" s="27"/>
      <c r="K62" s="27"/>
      <c r="N62" s="38"/>
      <c r="O62" s="27"/>
      <c r="P62" s="27"/>
      <c r="Q62" s="27"/>
    </row>
    <row r="63" spans="1:18" s="28" customFormat="1" ht="18" x14ac:dyDescent="0.25">
      <c r="A63" s="38"/>
      <c r="B63" s="27"/>
      <c r="C63" s="27"/>
      <c r="D63" s="27"/>
      <c r="E63" s="27"/>
      <c r="H63" s="38"/>
      <c r="I63" s="27"/>
      <c r="J63" s="27"/>
      <c r="K63" s="27"/>
      <c r="N63" s="38"/>
      <c r="O63" s="27"/>
      <c r="P63" s="27"/>
      <c r="Q63" s="27"/>
    </row>
    <row r="64" spans="1:18" s="28" customFormat="1" ht="18" x14ac:dyDescent="0.25">
      <c r="A64" s="38"/>
      <c r="B64" s="27"/>
      <c r="C64" s="27"/>
      <c r="D64" s="27"/>
      <c r="E64" s="27"/>
      <c r="H64" s="38"/>
      <c r="I64" s="27"/>
      <c r="J64" s="27"/>
      <c r="K64" s="27"/>
      <c r="N64" s="38"/>
      <c r="O64" s="27"/>
      <c r="P64" s="27"/>
      <c r="Q64" s="27"/>
    </row>
    <row r="65" spans="1:6" s="28" customFormat="1" ht="18" x14ac:dyDescent="0.25">
      <c r="A65" s="38"/>
      <c r="B65" s="27"/>
      <c r="C65" s="27"/>
      <c r="D65" s="27"/>
      <c r="E65" s="27"/>
    </row>
    <row r="66" spans="1:6" ht="18" x14ac:dyDescent="0.25">
      <c r="A66" s="38"/>
      <c r="B66" s="27"/>
      <c r="C66" s="27"/>
      <c r="D66" s="27"/>
      <c r="E66" s="27"/>
      <c r="F66" s="28"/>
    </row>
    <row r="67" spans="1:6" x14ac:dyDescent="0.25">
      <c r="A67" s="28"/>
      <c r="B67" s="28"/>
      <c r="C67" s="28"/>
      <c r="D67" s="28"/>
      <c r="E67" s="28"/>
      <c r="F67" s="28"/>
    </row>
  </sheetData>
  <mergeCells count="9">
    <mergeCell ref="N5:O5"/>
    <mergeCell ref="N6:N7"/>
    <mergeCell ref="N39:O39"/>
    <mergeCell ref="A41:B41"/>
    <mergeCell ref="A5:B5"/>
    <mergeCell ref="H5:I5"/>
    <mergeCell ref="A6:A7"/>
    <mergeCell ref="H6:H7"/>
    <mergeCell ref="H39:I39"/>
  </mergeCells>
  <pageMargins left="0.7" right="0.7" top="0.75" bottom="0.75" header="0.3" footer="0.3"/>
  <pageSetup paperSize="9" scale="89" orientation="portrait" r:id="rId1"/>
  <colBreaks count="1" manualBreakCount="1">
    <brk id="6" max="1048575" man="1"/>
  </colBreaks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topLeftCell="A7" zoomScale="90" zoomScaleNormal="90" workbookViewId="0">
      <selection activeCell="K24" sqref="K24"/>
    </sheetView>
  </sheetViews>
  <sheetFormatPr defaultRowHeight="15" x14ac:dyDescent="0.25"/>
  <cols>
    <col min="1" max="1" width="27.5703125" customWidth="1"/>
    <col min="2" max="2" width="11.5703125" customWidth="1"/>
    <col min="3" max="3" width="13.140625" customWidth="1"/>
    <col min="4" max="4" width="14.42578125" customWidth="1"/>
    <col min="5" max="5" width="15" customWidth="1"/>
    <col min="6" max="6" width="16" customWidth="1"/>
    <col min="7" max="7" width="7.7109375" customWidth="1"/>
    <col min="8" max="8" width="28.85546875" customWidth="1"/>
    <col min="9" max="9" width="11.42578125" customWidth="1"/>
    <col min="10" max="10" width="14.28515625" customWidth="1"/>
    <col min="11" max="11" width="15" customWidth="1"/>
    <col min="12" max="12" width="14.5703125" customWidth="1"/>
    <col min="14" max="14" width="28.85546875" customWidth="1"/>
    <col min="15" max="15" width="11.42578125" customWidth="1"/>
    <col min="16" max="16" width="16.28515625" customWidth="1"/>
    <col min="17" max="17" width="15" customWidth="1"/>
    <col min="18" max="18" width="14.5703125" customWidth="1"/>
  </cols>
  <sheetData>
    <row r="1" spans="1:18" ht="18.75" x14ac:dyDescent="0.3">
      <c r="B1" s="1" t="s">
        <v>61</v>
      </c>
      <c r="C1" s="1"/>
      <c r="D1" s="1"/>
      <c r="E1" s="1"/>
      <c r="I1" s="1" t="s">
        <v>55</v>
      </c>
      <c r="K1" s="1"/>
      <c r="O1" s="1" t="s">
        <v>119</v>
      </c>
      <c r="Q1" s="1"/>
    </row>
    <row r="2" spans="1:18" ht="18.75" x14ac:dyDescent="0.3">
      <c r="B2" s="1" t="s">
        <v>52</v>
      </c>
      <c r="C2" s="1"/>
      <c r="D2" s="1"/>
      <c r="E2" s="1"/>
      <c r="I2" s="1" t="s">
        <v>52</v>
      </c>
      <c r="K2" s="1"/>
      <c r="O2" s="1" t="s">
        <v>52</v>
      </c>
      <c r="Q2" s="1"/>
    </row>
    <row r="3" spans="1:18" ht="18.75" x14ac:dyDescent="0.3">
      <c r="B3" s="1"/>
      <c r="C3" s="1"/>
      <c r="D3" s="1"/>
      <c r="E3" s="1"/>
      <c r="I3" s="1"/>
      <c r="J3" s="1"/>
      <c r="K3" s="1"/>
      <c r="O3" s="1"/>
      <c r="P3" s="1"/>
      <c r="Q3" s="1"/>
    </row>
    <row r="4" spans="1:18" ht="19.5" thickBot="1" x14ac:dyDescent="0.35">
      <c r="F4" s="1"/>
      <c r="L4" s="1"/>
      <c r="R4" s="1"/>
    </row>
    <row r="5" spans="1:18" ht="63.75" thickBot="1" x14ac:dyDescent="0.4">
      <c r="A5" s="88" t="s">
        <v>62</v>
      </c>
      <c r="B5" s="89"/>
      <c r="C5" s="8" t="s">
        <v>58</v>
      </c>
      <c r="D5" s="8" t="s">
        <v>60</v>
      </c>
      <c r="E5" s="58" t="s">
        <v>142</v>
      </c>
      <c r="F5" s="10" t="s">
        <v>39</v>
      </c>
      <c r="H5" s="88" t="s">
        <v>43</v>
      </c>
      <c r="I5" s="89"/>
      <c r="J5" s="8" t="s">
        <v>117</v>
      </c>
      <c r="K5" s="58" t="s">
        <v>142</v>
      </c>
      <c r="L5" s="10" t="s">
        <v>39</v>
      </c>
      <c r="N5" s="88" t="s">
        <v>43</v>
      </c>
      <c r="O5" s="89"/>
      <c r="P5" s="8" t="s">
        <v>117</v>
      </c>
      <c r="Q5" s="58" t="s">
        <v>142</v>
      </c>
      <c r="R5" s="10" t="s">
        <v>39</v>
      </c>
    </row>
    <row r="6" spans="1:18" ht="18.75" x14ac:dyDescent="0.3">
      <c r="A6" s="90" t="s">
        <v>0</v>
      </c>
      <c r="B6" s="11" t="s">
        <v>1</v>
      </c>
      <c r="C6" s="22">
        <v>590000</v>
      </c>
      <c r="D6" s="22">
        <f>C6+10000+1323.39+2540.3+298.57</f>
        <v>604162.26</v>
      </c>
      <c r="E6" s="18">
        <f>39656.85+40295.33+44324.47+50538.33+56592.72+46702.05+43881.77+54648.97+60845.76+48593.58+105601.4</f>
        <v>591681.23</v>
      </c>
      <c r="F6" s="14">
        <f>D6-E6</f>
        <v>12481.030000000028</v>
      </c>
      <c r="H6" s="90" t="s">
        <v>0</v>
      </c>
      <c r="I6" s="11" t="s">
        <v>1</v>
      </c>
      <c r="J6" s="22"/>
      <c r="K6" s="18">
        <f>8838.8+1261.5</f>
        <v>10100.299999999999</v>
      </c>
      <c r="L6" s="14">
        <f>J6-K6</f>
        <v>-10100.299999999999</v>
      </c>
      <c r="N6" s="90" t="s">
        <v>0</v>
      </c>
      <c r="O6" s="11" t="s">
        <v>1</v>
      </c>
      <c r="P6" s="22"/>
      <c r="Q6" s="18"/>
      <c r="R6" s="14">
        <f>P6-Q6</f>
        <v>0</v>
      </c>
    </row>
    <row r="7" spans="1:18" ht="18.75" x14ac:dyDescent="0.3">
      <c r="A7" s="91"/>
      <c r="B7" s="3" t="s">
        <v>2</v>
      </c>
      <c r="C7" s="23">
        <f>SUM(C8:C11)</f>
        <v>28000</v>
      </c>
      <c r="D7" s="22">
        <f t="shared" ref="D7:D33" si="0">C7</f>
        <v>28000</v>
      </c>
      <c r="E7" s="17">
        <f>SUM(E8:E11)</f>
        <v>23321.379999999997</v>
      </c>
      <c r="F7" s="15">
        <f t="shared" ref="F7:F35" si="1">D7-E7</f>
        <v>4678.6200000000026</v>
      </c>
      <c r="H7" s="91"/>
      <c r="I7" s="3" t="s">
        <v>2</v>
      </c>
      <c r="J7" s="23"/>
      <c r="K7" s="17"/>
      <c r="L7" s="15">
        <f t="shared" ref="L7:L11" si="2">J7-K7</f>
        <v>0</v>
      </c>
      <c r="N7" s="91"/>
      <c r="O7" s="3" t="s">
        <v>2</v>
      </c>
      <c r="P7" s="23"/>
      <c r="Q7" s="17"/>
      <c r="R7" s="15">
        <f t="shared" ref="R7:R11" si="3">P7-Q7</f>
        <v>0</v>
      </c>
    </row>
    <row r="8" spans="1:18" ht="18.75" x14ac:dyDescent="0.3">
      <c r="A8" s="7" t="s">
        <v>3</v>
      </c>
      <c r="B8" s="4" t="s">
        <v>4</v>
      </c>
      <c r="C8" s="24">
        <v>5000</v>
      </c>
      <c r="D8" s="22">
        <f t="shared" si="0"/>
        <v>5000</v>
      </c>
      <c r="E8" s="19">
        <f>750+925+1075+1000+500</f>
        <v>4250</v>
      </c>
      <c r="F8" s="16">
        <f t="shared" si="1"/>
        <v>750</v>
      </c>
      <c r="H8" s="7" t="s">
        <v>3</v>
      </c>
      <c r="I8" s="4" t="s">
        <v>4</v>
      </c>
      <c r="J8" s="24"/>
      <c r="K8" s="19"/>
      <c r="L8" s="16">
        <f t="shared" si="2"/>
        <v>0</v>
      </c>
      <c r="N8" s="7" t="s">
        <v>3</v>
      </c>
      <c r="O8" s="4" t="s">
        <v>4</v>
      </c>
      <c r="P8" s="24"/>
      <c r="Q8" s="19"/>
      <c r="R8" s="16">
        <f t="shared" si="3"/>
        <v>0</v>
      </c>
    </row>
    <row r="9" spans="1:18" ht="18.75" x14ac:dyDescent="0.3">
      <c r="A9" s="7" t="s">
        <v>5</v>
      </c>
      <c r="B9" s="4" t="s">
        <v>6</v>
      </c>
      <c r="C9" s="24">
        <v>20000</v>
      </c>
      <c r="D9" s="22">
        <f t="shared" si="0"/>
        <v>20000</v>
      </c>
      <c r="E9" s="19">
        <f>750.22+723.76+723.76+723.76+723.76+763.15+823.15+823.15+823.15+9223.15+1646.3</f>
        <v>17747.309999999998</v>
      </c>
      <c r="F9" s="16">
        <f t="shared" si="1"/>
        <v>2252.6900000000023</v>
      </c>
      <c r="H9" s="7" t="s">
        <v>5</v>
      </c>
      <c r="I9" s="4" t="s">
        <v>6</v>
      </c>
      <c r="J9" s="24"/>
      <c r="K9" s="19"/>
      <c r="L9" s="16">
        <f t="shared" si="2"/>
        <v>0</v>
      </c>
      <c r="N9" s="7" t="s">
        <v>5</v>
      </c>
      <c r="O9" s="4" t="s">
        <v>6</v>
      </c>
      <c r="P9" s="24"/>
      <c r="Q9" s="19"/>
      <c r="R9" s="16">
        <f t="shared" si="3"/>
        <v>0</v>
      </c>
    </row>
    <row r="10" spans="1:18" ht="18.75" x14ac:dyDescent="0.3">
      <c r="A10" s="7" t="s">
        <v>7</v>
      </c>
      <c r="B10" s="4" t="s">
        <v>8</v>
      </c>
      <c r="C10" s="21"/>
      <c r="D10" s="22">
        <f t="shared" si="0"/>
        <v>0</v>
      </c>
      <c r="E10" s="19"/>
      <c r="F10" s="16">
        <f t="shared" si="1"/>
        <v>0</v>
      </c>
      <c r="H10" s="7" t="s">
        <v>7</v>
      </c>
      <c r="I10" s="4" t="s">
        <v>8</v>
      </c>
      <c r="J10" s="21"/>
      <c r="K10" s="19"/>
      <c r="L10" s="16">
        <f t="shared" si="2"/>
        <v>0</v>
      </c>
      <c r="N10" s="7" t="s">
        <v>7</v>
      </c>
      <c r="O10" s="4" t="s">
        <v>8</v>
      </c>
      <c r="P10" s="21"/>
      <c r="Q10" s="19"/>
      <c r="R10" s="16">
        <f t="shared" si="3"/>
        <v>0</v>
      </c>
    </row>
    <row r="11" spans="1:18" ht="18.75" x14ac:dyDescent="0.3">
      <c r="A11" s="7" t="s">
        <v>9</v>
      </c>
      <c r="B11" s="4" t="s">
        <v>10</v>
      </c>
      <c r="C11" s="24">
        <v>3000</v>
      </c>
      <c r="D11" s="22">
        <f t="shared" si="0"/>
        <v>3000</v>
      </c>
      <c r="E11" s="19">
        <f>317.08+153.39+267.14+187.34+240.01+159.11</f>
        <v>1324.0700000000002</v>
      </c>
      <c r="F11" s="16">
        <f t="shared" si="1"/>
        <v>1675.9299999999998</v>
      </c>
      <c r="H11" s="7" t="s">
        <v>9</v>
      </c>
      <c r="I11" s="4" t="s">
        <v>10</v>
      </c>
      <c r="J11" s="24"/>
      <c r="K11" s="19"/>
      <c r="L11" s="16">
        <f t="shared" si="2"/>
        <v>0</v>
      </c>
      <c r="N11" s="7" t="s">
        <v>9</v>
      </c>
      <c r="O11" s="4" t="s">
        <v>10</v>
      </c>
      <c r="P11" s="24"/>
      <c r="Q11" s="19"/>
      <c r="R11" s="16">
        <f t="shared" si="3"/>
        <v>0</v>
      </c>
    </row>
    <row r="12" spans="1:18" ht="18.75" x14ac:dyDescent="0.3">
      <c r="A12" s="7"/>
      <c r="B12" s="4"/>
      <c r="C12" s="24"/>
      <c r="D12" s="22">
        <f t="shared" si="0"/>
        <v>0</v>
      </c>
      <c r="E12" s="19"/>
      <c r="F12" s="16"/>
      <c r="H12" s="7"/>
      <c r="I12" s="4"/>
      <c r="J12" s="24"/>
      <c r="K12" s="19"/>
      <c r="L12" s="16"/>
      <c r="N12" s="7"/>
      <c r="O12" s="4"/>
      <c r="P12" s="24"/>
      <c r="Q12" s="19"/>
      <c r="R12" s="16"/>
    </row>
    <row r="13" spans="1:18" ht="18.75" x14ac:dyDescent="0.3">
      <c r="A13" s="7" t="s">
        <v>11</v>
      </c>
      <c r="B13" s="3" t="s">
        <v>12</v>
      </c>
      <c r="C13" s="23">
        <f>SUM(C14:C17)</f>
        <v>144117.59999999998</v>
      </c>
      <c r="D13" s="22">
        <f>D14+D15+D16+D17</f>
        <v>146758.21</v>
      </c>
      <c r="E13" s="23">
        <f>SUM(E14:E17)</f>
        <v>134206.81</v>
      </c>
      <c r="F13" s="15">
        <f>D13-E13</f>
        <v>12551.399999999994</v>
      </c>
      <c r="H13" s="7" t="s">
        <v>11</v>
      </c>
      <c r="I13" s="3" t="s">
        <v>12</v>
      </c>
      <c r="J13" s="23"/>
      <c r="K13" s="23">
        <f>K14+K15+K16+K17</f>
        <v>2338.6999999999998</v>
      </c>
      <c r="L13" s="15">
        <f>J13-K13</f>
        <v>-2338.6999999999998</v>
      </c>
      <c r="N13" s="7" t="s">
        <v>11</v>
      </c>
      <c r="O13" s="3" t="s">
        <v>12</v>
      </c>
      <c r="P13" s="23"/>
      <c r="Q13" s="23"/>
      <c r="R13" s="15">
        <f>P13-Q13</f>
        <v>0</v>
      </c>
    </row>
    <row r="14" spans="1:18" ht="18.75" x14ac:dyDescent="0.3">
      <c r="A14" s="7" t="s">
        <v>13</v>
      </c>
      <c r="B14" s="4" t="s">
        <v>14</v>
      </c>
      <c r="C14" s="24">
        <f>(C6+C7)*11.42%</f>
        <v>70575.599999999991</v>
      </c>
      <c r="D14" s="22">
        <f>C14+1142+151.13</f>
        <v>71868.73</v>
      </c>
      <c r="E14" s="19">
        <f>4773.81+4821.94+5289.16+6088.51+6339.55+5158.35+5203.75+6491.47+6750.75+5787.79+12278.48</f>
        <v>68983.56</v>
      </c>
      <c r="F14" s="16">
        <f>D14-E14</f>
        <v>2885.1699999999983</v>
      </c>
      <c r="H14" s="7" t="s">
        <v>13</v>
      </c>
      <c r="I14" s="4" t="s">
        <v>14</v>
      </c>
      <c r="J14" s="24"/>
      <c r="K14" s="19">
        <f>1009.4+144.07</f>
        <v>1153.47</v>
      </c>
      <c r="L14" s="16">
        <f>J14-K14</f>
        <v>-1153.47</v>
      </c>
      <c r="N14" s="7" t="s">
        <v>13</v>
      </c>
      <c r="O14" s="4" t="s">
        <v>14</v>
      </c>
      <c r="P14" s="24"/>
      <c r="Q14" s="19"/>
      <c r="R14" s="16">
        <f>P14-Q14</f>
        <v>0</v>
      </c>
    </row>
    <row r="15" spans="1:18" ht="18.75" x14ac:dyDescent="0.3">
      <c r="A15" s="7" t="s">
        <v>15</v>
      </c>
      <c r="B15" s="4" t="s">
        <v>16</v>
      </c>
      <c r="C15" s="24">
        <f>(C6+C7)*4.3%</f>
        <v>26573.999999999996</v>
      </c>
      <c r="D15" s="22">
        <f>C15+430+56.91</f>
        <v>27060.909999999996</v>
      </c>
      <c r="E15" s="19">
        <f>1561.59+1620.97+1768.38+1992.04+2105.28+1753.34+1759.8+2148.72+2243.03+1909.64+3983.91</f>
        <v>22846.699999999997</v>
      </c>
      <c r="F15" s="16">
        <f>D15-E15</f>
        <v>4214.2099999999991</v>
      </c>
      <c r="H15" s="7" t="s">
        <v>15</v>
      </c>
      <c r="I15" s="4" t="s">
        <v>16</v>
      </c>
      <c r="J15" s="24"/>
      <c r="K15" s="19">
        <f>380.04+35.32</f>
        <v>415.36</v>
      </c>
      <c r="L15" s="16">
        <f>J15-K15</f>
        <v>-415.36</v>
      </c>
      <c r="N15" s="7" t="s">
        <v>15</v>
      </c>
      <c r="O15" s="4" t="s">
        <v>16</v>
      </c>
      <c r="P15" s="24"/>
      <c r="Q15" s="19"/>
      <c r="R15" s="16">
        <f>P15-Q15</f>
        <v>0</v>
      </c>
    </row>
    <row r="16" spans="1:18" ht="18.75" x14ac:dyDescent="0.3">
      <c r="A16" s="7" t="s">
        <v>17</v>
      </c>
      <c r="B16" s="4" t="s">
        <v>18</v>
      </c>
      <c r="C16" s="24">
        <f>(C6+C7)*4.8%</f>
        <v>29664</v>
      </c>
      <c r="D16" s="22">
        <f>C16+480+63.52</f>
        <v>30207.52</v>
      </c>
      <c r="E16" s="19">
        <f>2022.39+2016.88+2200.55+2549.61+2667.8+2131.66+2140.16+2633.45+2743.33+2362.67+5001.64</f>
        <v>28470.14</v>
      </c>
      <c r="F16" s="16">
        <f t="shared" ref="F16:F17" si="4">D16-E16</f>
        <v>1737.380000000001</v>
      </c>
      <c r="H16" s="7" t="s">
        <v>17</v>
      </c>
      <c r="I16" s="4" t="s">
        <v>18</v>
      </c>
      <c r="J16" s="24"/>
      <c r="K16" s="19">
        <f>424.26+60.55</f>
        <v>484.81</v>
      </c>
      <c r="L16" s="16">
        <f t="shared" ref="L16:L17" si="5">J16-K16</f>
        <v>-484.81</v>
      </c>
      <c r="N16" s="7" t="s">
        <v>17</v>
      </c>
      <c r="O16" s="4" t="s">
        <v>18</v>
      </c>
      <c r="P16" s="24"/>
      <c r="Q16" s="19"/>
      <c r="R16" s="16">
        <f t="shared" ref="R16:R17" si="6">P16-Q16</f>
        <v>0</v>
      </c>
    </row>
    <row r="17" spans="1:18" ht="18.75" x14ac:dyDescent="0.3">
      <c r="A17" s="7" t="s">
        <v>19</v>
      </c>
      <c r="B17" s="4" t="s">
        <v>20</v>
      </c>
      <c r="C17" s="24">
        <f>(C6+C7)*2.8%</f>
        <v>17304</v>
      </c>
      <c r="D17" s="22">
        <f>C17+280+37.05</f>
        <v>17621.05</v>
      </c>
      <c r="E17" s="19">
        <f>958.22+974.01+1064.15+1235.05+1273.58+1003.49+1040.96+1310.11+1376.56+1171.69+2498.59</f>
        <v>13906.41</v>
      </c>
      <c r="F17" s="16">
        <f t="shared" si="4"/>
        <v>3714.6399999999994</v>
      </c>
      <c r="H17" s="7" t="s">
        <v>19</v>
      </c>
      <c r="I17" s="4" t="s">
        <v>20</v>
      </c>
      <c r="J17" s="24"/>
      <c r="K17" s="19">
        <f>247.5+37.56</f>
        <v>285.06</v>
      </c>
      <c r="L17" s="16">
        <f t="shared" si="5"/>
        <v>-285.06</v>
      </c>
      <c r="N17" s="7" t="s">
        <v>19</v>
      </c>
      <c r="O17" s="4" t="s">
        <v>20</v>
      </c>
      <c r="P17" s="24"/>
      <c r="Q17" s="19"/>
      <c r="R17" s="16">
        <f t="shared" si="6"/>
        <v>0</v>
      </c>
    </row>
    <row r="18" spans="1:18" ht="18.75" x14ac:dyDescent="0.3">
      <c r="A18" s="47"/>
      <c r="B18" s="4"/>
      <c r="C18" s="24"/>
      <c r="D18" s="22">
        <f t="shared" si="0"/>
        <v>0</v>
      </c>
      <c r="E18" s="19"/>
      <c r="F18" s="16"/>
      <c r="H18" s="47"/>
      <c r="I18" s="4"/>
      <c r="J18" s="24"/>
      <c r="K18" s="19"/>
      <c r="L18" s="16"/>
      <c r="N18" s="47"/>
      <c r="O18" s="4"/>
      <c r="P18" s="24"/>
      <c r="Q18" s="19"/>
      <c r="R18" s="16"/>
    </row>
    <row r="19" spans="1:18" ht="18.75" x14ac:dyDescent="0.3">
      <c r="A19" s="48" t="s">
        <v>40</v>
      </c>
      <c r="B19" s="4" t="s">
        <v>29</v>
      </c>
      <c r="C19" s="24">
        <f>SUM(C20:C29)</f>
        <v>104638</v>
      </c>
      <c r="D19" s="22">
        <f>D20+D21+D22+D23+D24+D25+D26+D27+D28+D29</f>
        <v>135746.9</v>
      </c>
      <c r="E19" s="17">
        <f>SUM(E20:E29)</f>
        <v>110409.54</v>
      </c>
      <c r="F19" s="15">
        <f t="shared" si="1"/>
        <v>25337.360000000001</v>
      </c>
      <c r="H19" s="48" t="s">
        <v>40</v>
      </c>
      <c r="I19" s="4" t="s">
        <v>29</v>
      </c>
      <c r="J19" s="24"/>
      <c r="K19" s="17">
        <f>K20+K21+K22+K23+K24+K25+K26+K27+K28+K29</f>
        <v>4540</v>
      </c>
      <c r="L19" s="15">
        <f>J19-K19</f>
        <v>-4540</v>
      </c>
      <c r="N19" s="48" t="s">
        <v>40</v>
      </c>
      <c r="O19" s="4" t="s">
        <v>29</v>
      </c>
      <c r="P19" s="24"/>
      <c r="Q19" s="17"/>
      <c r="R19" s="15">
        <f>P19-Q19</f>
        <v>0</v>
      </c>
    </row>
    <row r="20" spans="1:18" ht="18.75" x14ac:dyDescent="0.3">
      <c r="A20" s="43" t="s">
        <v>21</v>
      </c>
      <c r="B20" s="44" t="s">
        <v>22</v>
      </c>
      <c r="C20" s="45">
        <v>35000</v>
      </c>
      <c r="D20" s="22">
        <f t="shared" si="0"/>
        <v>35000</v>
      </c>
      <c r="E20" s="49">
        <f>3246+3872+3105.5+3168+2812.5+2052.5+327.76+4923.3+5912.75</f>
        <v>29420.309999999998</v>
      </c>
      <c r="F20" s="16">
        <f t="shared" si="1"/>
        <v>5579.6900000000023</v>
      </c>
      <c r="H20" s="43" t="s">
        <v>21</v>
      </c>
      <c r="I20" s="44" t="s">
        <v>22</v>
      </c>
      <c r="J20" s="45"/>
      <c r="K20" s="49"/>
      <c r="L20" s="16">
        <f t="shared" ref="L20" si="7">J20-K20</f>
        <v>0</v>
      </c>
      <c r="N20" s="43" t="s">
        <v>21</v>
      </c>
      <c r="O20" s="44" t="s">
        <v>22</v>
      </c>
      <c r="P20" s="45"/>
      <c r="Q20" s="49"/>
      <c r="R20" s="16">
        <f t="shared" ref="R20" si="8">P20-Q20</f>
        <v>0</v>
      </c>
    </row>
    <row r="21" spans="1:18" ht="18.75" x14ac:dyDescent="0.3">
      <c r="A21" s="43" t="s">
        <v>41</v>
      </c>
      <c r="B21" s="44" t="s">
        <v>30</v>
      </c>
      <c r="C21" s="45"/>
      <c r="D21" s="22">
        <f t="shared" si="0"/>
        <v>0</v>
      </c>
      <c r="E21" s="46"/>
      <c r="F21" s="15"/>
      <c r="H21" s="43" t="s">
        <v>41</v>
      </c>
      <c r="I21" s="44" t="s">
        <v>30</v>
      </c>
      <c r="J21" s="45"/>
      <c r="K21" s="46"/>
      <c r="L21" s="15"/>
      <c r="N21" s="43" t="s">
        <v>41</v>
      </c>
      <c r="O21" s="44" t="s">
        <v>30</v>
      </c>
      <c r="P21" s="45"/>
      <c r="Q21" s="46"/>
      <c r="R21" s="15"/>
    </row>
    <row r="22" spans="1:18" ht="18.75" x14ac:dyDescent="0.3">
      <c r="A22" s="43" t="s">
        <v>42</v>
      </c>
      <c r="B22" s="44" t="s">
        <v>31</v>
      </c>
      <c r="C22" s="45">
        <v>1000</v>
      </c>
      <c r="D22" s="22">
        <f t="shared" si="0"/>
        <v>1000</v>
      </c>
      <c r="E22" s="49">
        <f>900</f>
        <v>900</v>
      </c>
      <c r="F22" s="16">
        <f t="shared" si="1"/>
        <v>100</v>
      </c>
      <c r="H22" s="43" t="s">
        <v>42</v>
      </c>
      <c r="I22" s="44" t="s">
        <v>31</v>
      </c>
      <c r="J22" s="45"/>
      <c r="K22" s="49"/>
      <c r="L22" s="16">
        <f t="shared" ref="L22:L23" si="9">J22-K22</f>
        <v>0</v>
      </c>
      <c r="N22" s="43" t="s">
        <v>42</v>
      </c>
      <c r="O22" s="44" t="s">
        <v>31</v>
      </c>
      <c r="P22" s="45"/>
      <c r="Q22" s="49"/>
      <c r="R22" s="16">
        <f t="shared" ref="R22:R23" si="10">P22-Q22</f>
        <v>0</v>
      </c>
    </row>
    <row r="23" spans="1:18" ht="18.75" x14ac:dyDescent="0.3">
      <c r="A23" s="7" t="s">
        <v>23</v>
      </c>
      <c r="B23" s="12" t="s">
        <v>24</v>
      </c>
      <c r="C23" s="21"/>
      <c r="D23" s="22">
        <f>C23+7331.03+480.87</f>
        <v>7811.9</v>
      </c>
      <c r="E23" s="19">
        <f>7811.9</f>
        <v>7811.9</v>
      </c>
      <c r="F23" s="16">
        <f t="shared" si="1"/>
        <v>0</v>
      </c>
      <c r="H23" s="7" t="s">
        <v>23</v>
      </c>
      <c r="I23" s="12" t="s">
        <v>24</v>
      </c>
      <c r="J23" s="21"/>
      <c r="K23" s="19"/>
      <c r="L23" s="16">
        <f t="shared" si="9"/>
        <v>0</v>
      </c>
      <c r="N23" s="7" t="s">
        <v>23</v>
      </c>
      <c r="O23" s="12" t="s">
        <v>24</v>
      </c>
      <c r="P23" s="21"/>
      <c r="Q23" s="19"/>
      <c r="R23" s="16">
        <f t="shared" si="10"/>
        <v>0</v>
      </c>
    </row>
    <row r="24" spans="1:18" ht="18.75" x14ac:dyDescent="0.3">
      <c r="A24" s="7" t="s">
        <v>32</v>
      </c>
      <c r="B24" s="12" t="s">
        <v>33</v>
      </c>
      <c r="C24" s="24">
        <v>10000</v>
      </c>
      <c r="D24" s="22">
        <f>C24+11652</f>
        <v>21652</v>
      </c>
      <c r="E24" s="19">
        <f>410.08+3595.84+620.4+2669.94+98.8+1936.31+1220.9+1760+2055.4+978.02+523+458.55</f>
        <v>16327.24</v>
      </c>
      <c r="F24" s="16">
        <f>D24-E24</f>
        <v>5324.76</v>
      </c>
      <c r="H24" s="7" t="s">
        <v>32</v>
      </c>
      <c r="I24" s="12" t="s">
        <v>33</v>
      </c>
      <c r="J24" s="24"/>
      <c r="K24" s="19">
        <f>178+232.08+1095.12+2580</f>
        <v>4085.2</v>
      </c>
      <c r="L24" s="16">
        <f>J24-K24</f>
        <v>-4085.2</v>
      </c>
      <c r="N24" s="7" t="s">
        <v>32</v>
      </c>
      <c r="O24" s="12" t="s">
        <v>33</v>
      </c>
      <c r="P24" s="57">
        <f>20466.24+57835.48</f>
        <v>78301.72</v>
      </c>
      <c r="Q24" s="19">
        <f>75239.19+3618.25-555.72</f>
        <v>78301.72</v>
      </c>
      <c r="R24" s="16">
        <f>P24-Q24</f>
        <v>0</v>
      </c>
    </row>
    <row r="25" spans="1:18" ht="18.75" x14ac:dyDescent="0.3">
      <c r="A25" s="7" t="s">
        <v>34</v>
      </c>
      <c r="B25" s="4" t="s">
        <v>35</v>
      </c>
      <c r="C25" s="24">
        <v>16638</v>
      </c>
      <c r="D25" s="22">
        <f t="shared" si="0"/>
        <v>16638</v>
      </c>
      <c r="E25" s="19">
        <f>233.79+240.68+242.51+345.23+229.06+202.49+187.93+11044.84+134.45+194.3+175.49+266.09</f>
        <v>13496.86</v>
      </c>
      <c r="F25" s="16">
        <f>D25-E25</f>
        <v>3141.1399999999994</v>
      </c>
      <c r="H25" s="7" t="s">
        <v>34</v>
      </c>
      <c r="I25" s="4" t="s">
        <v>35</v>
      </c>
      <c r="J25" s="24"/>
      <c r="K25" s="19"/>
      <c r="L25" s="16">
        <f>J25-K25</f>
        <v>0</v>
      </c>
      <c r="N25" s="7" t="s">
        <v>34</v>
      </c>
      <c r="O25" s="4" t="s">
        <v>35</v>
      </c>
      <c r="P25" s="24"/>
      <c r="Q25" s="19"/>
      <c r="R25" s="16">
        <f>P25-Q25</f>
        <v>0</v>
      </c>
    </row>
    <row r="26" spans="1:18" ht="18.75" x14ac:dyDescent="0.3">
      <c r="A26" s="42" t="s">
        <v>44</v>
      </c>
      <c r="B26" s="12" t="s">
        <v>25</v>
      </c>
      <c r="C26" s="24">
        <v>30000</v>
      </c>
      <c r="D26" s="22">
        <f>C26+3522.56+2122.44+6000</f>
        <v>41645</v>
      </c>
      <c r="E26" s="19">
        <f>584.22+2186.87+656.74+1297.43+5163.95+2776.24+1093.98+320.89+3074.07+3665.83+17350.96+3054.25</f>
        <v>41225.43</v>
      </c>
      <c r="F26" s="15">
        <f t="shared" si="1"/>
        <v>419.56999999999971</v>
      </c>
      <c r="H26" s="42" t="s">
        <v>44</v>
      </c>
      <c r="I26" s="12" t="s">
        <v>25</v>
      </c>
      <c r="J26" s="24"/>
      <c r="K26" s="19">
        <f>454.8</f>
        <v>454.8</v>
      </c>
      <c r="L26" s="15">
        <f t="shared" ref="L26:L28" si="11">J26-K26</f>
        <v>-454.8</v>
      </c>
      <c r="N26" s="42" t="s">
        <v>44</v>
      </c>
      <c r="O26" s="12" t="s">
        <v>25</v>
      </c>
      <c r="P26" s="24"/>
      <c r="Q26" s="19"/>
      <c r="R26" s="15">
        <f t="shared" ref="R26:R33" si="12">P26-Q26</f>
        <v>0</v>
      </c>
    </row>
    <row r="27" spans="1:18" ht="18.75" x14ac:dyDescent="0.3">
      <c r="A27" s="42" t="s">
        <v>36</v>
      </c>
      <c r="B27" s="12" t="s">
        <v>37</v>
      </c>
      <c r="C27" s="24">
        <v>10000</v>
      </c>
      <c r="D27" s="22">
        <f t="shared" si="0"/>
        <v>10000</v>
      </c>
      <c r="E27" s="19"/>
      <c r="F27" s="16">
        <f t="shared" si="1"/>
        <v>10000</v>
      </c>
      <c r="H27" s="42" t="s">
        <v>36</v>
      </c>
      <c r="I27" s="12" t="s">
        <v>37</v>
      </c>
      <c r="J27" s="24"/>
      <c r="K27" s="19"/>
      <c r="L27" s="16">
        <f t="shared" si="11"/>
        <v>0</v>
      </c>
      <c r="N27" s="42" t="s">
        <v>36</v>
      </c>
      <c r="O27" s="12" t="s">
        <v>37</v>
      </c>
      <c r="P27" s="24"/>
      <c r="Q27" s="19"/>
      <c r="R27" s="16">
        <f t="shared" si="12"/>
        <v>0</v>
      </c>
    </row>
    <row r="28" spans="1:18" ht="18.75" x14ac:dyDescent="0.3">
      <c r="A28" s="42" t="s">
        <v>45</v>
      </c>
      <c r="B28" s="12" t="s">
        <v>38</v>
      </c>
      <c r="C28" s="24">
        <v>2000</v>
      </c>
      <c r="D28" s="22">
        <f t="shared" si="0"/>
        <v>2000</v>
      </c>
      <c r="E28" s="19">
        <f>50+50+148+276+246+97+48.8+88+224</f>
        <v>1227.8</v>
      </c>
      <c r="F28" s="16">
        <f t="shared" si="1"/>
        <v>772.2</v>
      </c>
      <c r="H28" s="42" t="s">
        <v>45</v>
      </c>
      <c r="I28" s="12" t="s">
        <v>38</v>
      </c>
      <c r="J28" s="24"/>
      <c r="K28" s="19"/>
      <c r="L28" s="16">
        <f t="shared" si="11"/>
        <v>0</v>
      </c>
      <c r="N28" s="7" t="s">
        <v>74</v>
      </c>
      <c r="O28" s="12" t="s">
        <v>120</v>
      </c>
      <c r="P28" s="57">
        <v>27137.3</v>
      </c>
      <c r="Q28" s="19">
        <v>27137.31</v>
      </c>
      <c r="R28" s="16">
        <f t="shared" si="12"/>
        <v>-1.0000000002037268E-2</v>
      </c>
    </row>
    <row r="29" spans="1:18" ht="18.75" x14ac:dyDescent="0.3">
      <c r="A29" s="42" t="s">
        <v>46</v>
      </c>
      <c r="B29" s="12" t="s">
        <v>49</v>
      </c>
      <c r="C29" s="24"/>
      <c r="D29" s="22">
        <f t="shared" si="0"/>
        <v>0</v>
      </c>
      <c r="E29" s="19"/>
      <c r="F29" s="16"/>
      <c r="H29" s="42" t="s">
        <v>46</v>
      </c>
      <c r="I29" s="12" t="s">
        <v>49</v>
      </c>
      <c r="J29" s="24"/>
      <c r="K29" s="19"/>
      <c r="L29" s="16"/>
      <c r="N29" s="42" t="s">
        <v>132</v>
      </c>
      <c r="O29" s="12" t="s">
        <v>121</v>
      </c>
      <c r="P29" s="57">
        <v>29903.759999999998</v>
      </c>
      <c r="Q29" s="19">
        <f>15310.08+14593.68</f>
        <v>29903.760000000002</v>
      </c>
      <c r="R29" s="16">
        <f t="shared" si="12"/>
        <v>0</v>
      </c>
    </row>
    <row r="30" spans="1:18" ht="18.75" x14ac:dyDescent="0.3">
      <c r="A30" s="42" t="s">
        <v>47</v>
      </c>
      <c r="B30" s="12" t="s">
        <v>50</v>
      </c>
      <c r="C30" s="24">
        <v>300</v>
      </c>
      <c r="D30" s="22">
        <f t="shared" si="0"/>
        <v>300</v>
      </c>
      <c r="E30" s="19">
        <v>280.86</v>
      </c>
      <c r="F30" s="16">
        <f t="shared" si="1"/>
        <v>19.139999999999986</v>
      </c>
      <c r="H30" s="42" t="s">
        <v>47</v>
      </c>
      <c r="I30" s="12" t="s">
        <v>50</v>
      </c>
      <c r="J30" s="24"/>
      <c r="K30" s="19"/>
      <c r="L30" s="16">
        <f t="shared" ref="L30:L33" si="13">J30-K30</f>
        <v>0</v>
      </c>
      <c r="N30" s="42" t="s">
        <v>133</v>
      </c>
      <c r="O30" s="12" t="s">
        <v>122</v>
      </c>
      <c r="P30" s="57">
        <v>39744.57</v>
      </c>
      <c r="Q30" s="19">
        <f>31993.41+555.73</f>
        <v>32549.14</v>
      </c>
      <c r="R30" s="16">
        <f t="shared" si="12"/>
        <v>7195.43</v>
      </c>
    </row>
    <row r="31" spans="1:18" ht="18.75" x14ac:dyDescent="0.3">
      <c r="A31" s="7" t="s">
        <v>48</v>
      </c>
      <c r="B31" s="12" t="s">
        <v>51</v>
      </c>
      <c r="C31" s="24"/>
      <c r="D31" s="22">
        <f t="shared" si="0"/>
        <v>0</v>
      </c>
      <c r="E31" s="19"/>
      <c r="F31" s="16">
        <f t="shared" si="1"/>
        <v>0</v>
      </c>
      <c r="H31" s="7" t="s">
        <v>48</v>
      </c>
      <c r="I31" s="12" t="s">
        <v>51</v>
      </c>
      <c r="J31" s="24"/>
      <c r="K31" s="19"/>
      <c r="L31" s="16">
        <f t="shared" si="13"/>
        <v>0</v>
      </c>
      <c r="N31" s="7" t="s">
        <v>48</v>
      </c>
      <c r="O31" s="12" t="s">
        <v>51</v>
      </c>
      <c r="P31" s="24"/>
      <c r="Q31" s="19"/>
      <c r="R31" s="16">
        <f t="shared" si="12"/>
        <v>0</v>
      </c>
    </row>
    <row r="32" spans="1:18" ht="18.75" x14ac:dyDescent="0.3">
      <c r="A32" s="7" t="s">
        <v>74</v>
      </c>
      <c r="B32" s="12" t="s">
        <v>72</v>
      </c>
      <c r="C32" s="24">
        <v>1200</v>
      </c>
      <c r="D32" s="22">
        <f t="shared" si="0"/>
        <v>1200</v>
      </c>
      <c r="E32" s="74"/>
      <c r="F32" s="16">
        <f t="shared" si="1"/>
        <v>1200</v>
      </c>
      <c r="H32" s="13" t="s">
        <v>56</v>
      </c>
      <c r="I32" s="12" t="s">
        <v>57</v>
      </c>
      <c r="J32" s="25">
        <f>7057+6650+4932</f>
        <v>18639</v>
      </c>
      <c r="K32" s="19"/>
      <c r="L32" s="16">
        <f>J32-K34</f>
        <v>1660</v>
      </c>
      <c r="N32" s="13" t="s">
        <v>56</v>
      </c>
      <c r="O32" s="12" t="s">
        <v>57</v>
      </c>
      <c r="P32" s="71">
        <f>88273.22+51909.65+25459.75+3648.4</f>
        <v>169291.02</v>
      </c>
      <c r="Q32" s="19"/>
      <c r="R32" s="16">
        <f>P32-Q34</f>
        <v>1399.0899999999965</v>
      </c>
    </row>
    <row r="33" spans="1:18" ht="18.75" x14ac:dyDescent="0.3">
      <c r="A33" s="7" t="s">
        <v>75</v>
      </c>
      <c r="B33" s="12" t="s">
        <v>73</v>
      </c>
      <c r="C33" s="24">
        <v>3000</v>
      </c>
      <c r="D33" s="22">
        <f t="shared" si="0"/>
        <v>3000</v>
      </c>
      <c r="E33" s="75">
        <f>2630</f>
        <v>2630</v>
      </c>
      <c r="F33" s="16">
        <f t="shared" si="1"/>
        <v>370</v>
      </c>
      <c r="J33" s="24"/>
      <c r="K33" s="19"/>
      <c r="L33" s="16">
        <f t="shared" si="13"/>
        <v>0</v>
      </c>
      <c r="P33" s="24"/>
      <c r="Q33" s="19"/>
      <c r="R33" s="16">
        <f t="shared" si="12"/>
        <v>0</v>
      </c>
    </row>
    <row r="34" spans="1:18" ht="18.75" x14ac:dyDescent="0.3">
      <c r="A34" s="13" t="s">
        <v>26</v>
      </c>
      <c r="B34" s="12" t="s">
        <v>27</v>
      </c>
      <c r="C34" s="25">
        <v>15985</v>
      </c>
      <c r="D34" s="22">
        <f>C34-809</f>
        <v>15176</v>
      </c>
      <c r="E34" s="19"/>
      <c r="F34" s="16">
        <f t="shared" si="1"/>
        <v>15176</v>
      </c>
      <c r="I34" t="s">
        <v>28</v>
      </c>
      <c r="J34" s="26">
        <f>J32</f>
        <v>18639</v>
      </c>
      <c r="K34" s="55">
        <f>K6+K7+K13+K19+K30+K31</f>
        <v>16979</v>
      </c>
      <c r="L34" s="26">
        <f>J34-K34</f>
        <v>1660</v>
      </c>
      <c r="N34" t="s">
        <v>136</v>
      </c>
      <c r="O34" t="s">
        <v>28</v>
      </c>
      <c r="P34" s="26">
        <v>180758.65</v>
      </c>
      <c r="Q34" s="55">
        <f>Q6+Q24+Q28+Q29+Q307+Q13+Q19+Q30+Q31</f>
        <v>167891.93</v>
      </c>
      <c r="R34" s="26">
        <f>P34-Q34</f>
        <v>12866.720000000001</v>
      </c>
    </row>
    <row r="35" spans="1:18" ht="18.75" x14ac:dyDescent="0.3">
      <c r="C35" s="24"/>
      <c r="D35" s="24"/>
      <c r="E35" s="19"/>
      <c r="F35" s="16">
        <f t="shared" si="1"/>
        <v>0</v>
      </c>
      <c r="J35" s="50"/>
      <c r="K35" s="20"/>
      <c r="N35" t="s">
        <v>135</v>
      </c>
      <c r="P35" s="26">
        <f>114876.54+60210.8</f>
        <v>175087.34</v>
      </c>
      <c r="Q35" s="20"/>
    </row>
    <row r="36" spans="1:18" ht="18.75" x14ac:dyDescent="0.3">
      <c r="B36" t="s">
        <v>28</v>
      </c>
      <c r="C36" s="26">
        <f>C6+C7+C13+C19+C30+C31+C32+C33</f>
        <v>871255.6</v>
      </c>
      <c r="D36" s="26">
        <f>D6+D7+D13+D19+D30+D31+D32+D33</f>
        <v>919167.37</v>
      </c>
      <c r="E36" s="55">
        <f>E6+E7+E13+E19+E30+E31+E33</f>
        <v>862529.82</v>
      </c>
      <c r="F36" s="55">
        <f>F6+F7+F13+F19+F30+F31+F32+F33</f>
        <v>56637.550000000025</v>
      </c>
      <c r="H36" s="1" t="s">
        <v>53</v>
      </c>
      <c r="J36" s="50"/>
      <c r="K36" s="56" t="s">
        <v>54</v>
      </c>
      <c r="N36" s="1" t="s">
        <v>53</v>
      </c>
      <c r="P36" s="50"/>
      <c r="Q36" s="56" t="s">
        <v>54</v>
      </c>
    </row>
    <row r="37" spans="1:18" ht="18" x14ac:dyDescent="0.25">
      <c r="C37" s="50"/>
      <c r="D37" s="50"/>
      <c r="E37" s="20"/>
      <c r="J37" s="50"/>
      <c r="K37" s="20"/>
      <c r="P37" s="50"/>
      <c r="Q37" s="20"/>
    </row>
    <row r="38" spans="1:18" s="28" customFormat="1" ht="18.75" x14ac:dyDescent="0.3">
      <c r="A38" s="1" t="s">
        <v>53</v>
      </c>
      <c r="B38"/>
      <c r="C38" s="50"/>
      <c r="D38" s="50"/>
      <c r="E38" s="56" t="s">
        <v>54</v>
      </c>
      <c r="F38"/>
      <c r="K38" s="29"/>
      <c r="Q38" s="29"/>
    </row>
    <row r="39" spans="1:18" s="28" customFormat="1" ht="21" x14ac:dyDescent="0.35">
      <c r="A39"/>
      <c r="B39"/>
      <c r="C39" s="50"/>
      <c r="D39" s="50"/>
      <c r="E39" s="20"/>
      <c r="F39"/>
      <c r="H39" s="92"/>
      <c r="I39" s="92"/>
      <c r="J39" s="30"/>
      <c r="K39" s="31"/>
      <c r="L39" s="32"/>
      <c r="N39" s="92"/>
      <c r="O39" s="92"/>
      <c r="P39" s="30"/>
      <c r="Q39" s="31"/>
      <c r="R39" s="32"/>
    </row>
    <row r="40" spans="1:18" s="28" customFormat="1" ht="18" x14ac:dyDescent="0.25">
      <c r="E40" s="29"/>
      <c r="I40" s="27"/>
      <c r="J40" s="33"/>
      <c r="K40" s="34"/>
      <c r="L40" s="35"/>
      <c r="O40" s="27"/>
      <c r="P40" s="33"/>
      <c r="Q40" s="34"/>
      <c r="R40" s="35"/>
    </row>
    <row r="41" spans="1:18" s="28" customFormat="1" ht="21.75" customHeight="1" x14ac:dyDescent="0.35">
      <c r="A41" s="92"/>
      <c r="B41" s="92"/>
      <c r="C41" s="30">
        <f>C34-809</f>
        <v>15176</v>
      </c>
      <c r="D41" s="79">
        <v>809</v>
      </c>
      <c r="E41" s="93" t="s">
        <v>144</v>
      </c>
      <c r="F41" s="93"/>
      <c r="I41" s="27"/>
      <c r="J41" s="36"/>
      <c r="K41" s="37"/>
      <c r="L41" s="35"/>
      <c r="O41" s="27"/>
      <c r="P41" s="36"/>
      <c r="Q41" s="37"/>
      <c r="R41" s="35"/>
    </row>
    <row r="42" spans="1:18" s="28" customFormat="1" ht="18" x14ac:dyDescent="0.25">
      <c r="B42" s="27"/>
      <c r="C42" s="33"/>
      <c r="D42" s="77">
        <v>2122.44</v>
      </c>
      <c r="E42" s="34" t="s">
        <v>140</v>
      </c>
      <c r="F42" s="35"/>
      <c r="I42" s="27"/>
      <c r="J42" s="36"/>
      <c r="K42" s="37"/>
      <c r="L42" s="35"/>
      <c r="O42" s="27"/>
      <c r="P42" s="36"/>
      <c r="Q42" s="37"/>
      <c r="R42" s="35"/>
    </row>
    <row r="43" spans="1:18" s="28" customFormat="1" ht="18" x14ac:dyDescent="0.25">
      <c r="B43" s="27"/>
      <c r="C43" s="36"/>
      <c r="D43" s="33">
        <v>1632</v>
      </c>
      <c r="E43" s="34" t="s">
        <v>141</v>
      </c>
      <c r="F43" s="35"/>
      <c r="I43" s="27"/>
      <c r="J43" s="36"/>
      <c r="K43" s="37"/>
      <c r="L43" s="35"/>
      <c r="O43" s="27"/>
      <c r="P43" s="36"/>
      <c r="Q43" s="37"/>
      <c r="R43" s="35"/>
    </row>
    <row r="44" spans="1:18" s="39" customFormat="1" ht="18" x14ac:dyDescent="0.25">
      <c r="C44" s="33"/>
      <c r="D44" s="33">
        <v>7225</v>
      </c>
      <c r="E44" s="34" t="s">
        <v>143</v>
      </c>
      <c r="F44" s="35"/>
      <c r="I44" s="78"/>
      <c r="J44" s="33"/>
      <c r="K44" s="34"/>
      <c r="L44" s="35"/>
      <c r="O44" s="78"/>
      <c r="P44" s="33"/>
      <c r="Q44" s="34"/>
      <c r="R44" s="35"/>
    </row>
    <row r="45" spans="1:18" s="28" customFormat="1" ht="18" x14ac:dyDescent="0.25">
      <c r="C45" s="36"/>
      <c r="D45" s="77">
        <v>987.17</v>
      </c>
      <c r="E45" s="34" t="s">
        <v>145</v>
      </c>
      <c r="F45" s="35"/>
      <c r="I45" s="27"/>
      <c r="J45" s="36"/>
      <c r="K45" s="37"/>
      <c r="L45" s="35"/>
      <c r="O45" s="27"/>
      <c r="P45" s="36"/>
      <c r="Q45" s="37"/>
      <c r="R45" s="35"/>
    </row>
    <row r="46" spans="1:18" s="28" customFormat="1" ht="18" x14ac:dyDescent="0.25">
      <c r="C46" s="36"/>
      <c r="D46" s="80">
        <v>298.57</v>
      </c>
      <c r="E46" s="37" t="s">
        <v>152</v>
      </c>
      <c r="F46" s="35"/>
      <c r="I46" s="27"/>
      <c r="J46" s="36"/>
      <c r="K46" s="37"/>
      <c r="L46" s="35"/>
      <c r="O46" s="27"/>
      <c r="P46" s="36"/>
      <c r="Q46" s="37"/>
      <c r="R46" s="35"/>
    </row>
    <row r="47" spans="1:18" s="28" customFormat="1" ht="18" x14ac:dyDescent="0.25">
      <c r="C47" s="36"/>
      <c r="D47" s="36"/>
      <c r="E47" s="37"/>
      <c r="F47" s="35"/>
      <c r="I47" s="27"/>
      <c r="J47" s="36"/>
      <c r="K47" s="37"/>
      <c r="L47" s="35"/>
      <c r="O47" s="27"/>
      <c r="P47" s="36"/>
      <c r="Q47" s="37"/>
      <c r="R47" s="35"/>
    </row>
    <row r="48" spans="1:18" s="28" customFormat="1" ht="18" x14ac:dyDescent="0.25">
      <c r="B48" s="78">
        <v>809</v>
      </c>
      <c r="C48" s="36"/>
      <c r="D48" s="36"/>
      <c r="E48" s="37"/>
      <c r="F48" s="35"/>
      <c r="I48" s="27"/>
      <c r="J48" s="36"/>
      <c r="K48" s="37"/>
      <c r="L48" s="35"/>
      <c r="O48" s="27"/>
      <c r="P48" s="36"/>
      <c r="Q48" s="37"/>
      <c r="R48" s="35"/>
    </row>
    <row r="49" spans="1:18" s="28" customFormat="1" ht="18" x14ac:dyDescent="0.25">
      <c r="B49" s="27">
        <v>2122.44</v>
      </c>
      <c r="C49" s="36"/>
      <c r="D49" s="36"/>
      <c r="E49" s="37"/>
      <c r="F49" s="35"/>
      <c r="I49" s="27"/>
      <c r="J49" s="36"/>
      <c r="K49" s="37"/>
      <c r="L49" s="35"/>
      <c r="O49" s="27"/>
      <c r="P49" s="36"/>
      <c r="Q49" s="37"/>
      <c r="R49" s="35"/>
    </row>
    <row r="50" spans="1:18" s="28" customFormat="1" ht="18" x14ac:dyDescent="0.25">
      <c r="B50" s="27">
        <v>987.17</v>
      </c>
      <c r="C50" s="36"/>
      <c r="D50" s="36"/>
      <c r="E50" s="37"/>
      <c r="F50" s="35"/>
      <c r="I50" s="27"/>
      <c r="J50" s="36"/>
      <c r="K50" s="37"/>
      <c r="L50" s="35"/>
      <c r="O50" s="27"/>
      <c r="P50" s="36"/>
      <c r="Q50" s="37"/>
      <c r="R50" s="35"/>
    </row>
    <row r="51" spans="1:18" s="28" customFormat="1" ht="18" x14ac:dyDescent="0.25">
      <c r="B51" s="27">
        <v>7225</v>
      </c>
      <c r="C51" s="36"/>
      <c r="D51" s="36"/>
      <c r="E51" s="37"/>
      <c r="F51" s="35"/>
      <c r="I51" s="27"/>
      <c r="J51" s="36"/>
      <c r="K51" s="37"/>
      <c r="L51" s="35"/>
      <c r="O51" s="27"/>
      <c r="P51" s="36"/>
      <c r="Q51" s="37"/>
      <c r="R51" s="35"/>
    </row>
    <row r="52" spans="1:18" s="28" customFormat="1" ht="18" x14ac:dyDescent="0.25">
      <c r="B52" s="27">
        <v>1632</v>
      </c>
      <c r="C52" s="36"/>
      <c r="D52" s="36"/>
      <c r="E52" s="37"/>
      <c r="F52" s="35"/>
      <c r="I52" s="27"/>
      <c r="J52" s="36"/>
      <c r="K52" s="37"/>
      <c r="L52" s="35"/>
      <c r="O52" s="27"/>
      <c r="P52" s="36"/>
      <c r="Q52" s="37"/>
      <c r="R52" s="35"/>
    </row>
    <row r="53" spans="1:18" s="28" customFormat="1" ht="18" x14ac:dyDescent="0.25">
      <c r="B53" s="27">
        <v>23984</v>
      </c>
      <c r="C53" s="36"/>
      <c r="D53" s="36"/>
      <c r="E53" s="37"/>
      <c r="F53" s="35"/>
      <c r="J53" s="33"/>
      <c r="K53" s="34"/>
      <c r="L53" s="35"/>
      <c r="P53" s="33"/>
      <c r="Q53" s="34"/>
      <c r="R53" s="35"/>
    </row>
    <row r="54" spans="1:18" s="28" customFormat="1" ht="18" x14ac:dyDescent="0.25">
      <c r="B54" s="27">
        <v>3522.56</v>
      </c>
      <c r="C54" s="36"/>
      <c r="D54" s="36"/>
      <c r="E54" s="37"/>
      <c r="F54" s="35"/>
      <c r="J54" s="35"/>
      <c r="K54" s="34"/>
      <c r="L54" s="35"/>
      <c r="P54" s="35"/>
      <c r="Q54" s="34"/>
      <c r="R54" s="35"/>
    </row>
    <row r="55" spans="1:18" s="28" customFormat="1" ht="18" x14ac:dyDescent="0.25">
      <c r="B55" s="27">
        <v>7331.03</v>
      </c>
      <c r="C55" s="33"/>
      <c r="D55" s="33"/>
      <c r="E55" s="34"/>
      <c r="F55" s="35"/>
      <c r="J55" s="35"/>
      <c r="K55" s="34"/>
      <c r="L55" s="35"/>
      <c r="P55" s="35"/>
      <c r="Q55" s="34"/>
      <c r="R55" s="35"/>
    </row>
    <row r="56" spans="1:18" s="28" customFormat="1" ht="18" x14ac:dyDescent="0.25">
      <c r="B56" s="27">
        <f>SUM(B48:B55)</f>
        <v>47613.2</v>
      </c>
      <c r="C56" s="35"/>
      <c r="D56" s="35"/>
      <c r="E56" s="34"/>
      <c r="F56" s="35"/>
      <c r="H56" s="39"/>
      <c r="J56" s="40"/>
      <c r="K56" s="27"/>
      <c r="N56" s="39"/>
      <c r="P56" s="40"/>
      <c r="Q56" s="27"/>
    </row>
    <row r="57" spans="1:18" s="28" customFormat="1" ht="18" x14ac:dyDescent="0.25">
      <c r="B57" s="27"/>
      <c r="C57" s="35"/>
      <c r="D57" s="35"/>
      <c r="E57" s="34"/>
      <c r="F57" s="35"/>
      <c r="J57" s="41"/>
      <c r="K57" s="41"/>
      <c r="P57" s="41"/>
      <c r="Q57" s="41"/>
    </row>
    <row r="58" spans="1:18" s="28" customFormat="1" ht="18" x14ac:dyDescent="0.25">
      <c r="A58" s="39"/>
      <c r="B58" s="40">
        <f>D36-B56</f>
        <v>871554.17</v>
      </c>
      <c r="C58" s="40"/>
      <c r="D58" s="40"/>
      <c r="E58" s="27"/>
      <c r="H58" s="38"/>
      <c r="I58" s="27"/>
      <c r="J58" s="27"/>
      <c r="K58" s="27"/>
      <c r="N58" s="38"/>
      <c r="O58" s="27"/>
      <c r="P58" s="27"/>
      <c r="Q58" s="27"/>
    </row>
    <row r="59" spans="1:18" s="28" customFormat="1" ht="18" x14ac:dyDescent="0.25">
      <c r="C59" s="41"/>
      <c r="D59" s="41"/>
      <c r="E59" s="41"/>
      <c r="I59" s="27"/>
      <c r="J59" s="27"/>
      <c r="K59" s="27"/>
      <c r="O59" s="27"/>
      <c r="P59" s="27"/>
      <c r="Q59" s="27"/>
    </row>
    <row r="60" spans="1:18" s="28" customFormat="1" ht="18" x14ac:dyDescent="0.25">
      <c r="A60" s="38"/>
      <c r="B60" s="27"/>
      <c r="C60" s="27"/>
      <c r="D60" s="27"/>
      <c r="E60" s="27"/>
      <c r="I60" s="27"/>
      <c r="J60" s="27"/>
      <c r="K60" s="27"/>
      <c r="O60" s="27"/>
      <c r="P60" s="27"/>
      <c r="Q60" s="27"/>
    </row>
    <row r="61" spans="1:18" s="28" customFormat="1" ht="18" x14ac:dyDescent="0.25">
      <c r="B61" s="27"/>
      <c r="C61" s="27"/>
      <c r="D61" s="27"/>
      <c r="E61" s="27"/>
      <c r="H61" s="38"/>
      <c r="I61" s="27"/>
      <c r="J61" s="27"/>
      <c r="K61" s="27"/>
      <c r="N61" s="38"/>
      <c r="O61" s="27"/>
      <c r="P61" s="27"/>
      <c r="Q61" s="27"/>
    </row>
    <row r="62" spans="1:18" s="28" customFormat="1" ht="18" x14ac:dyDescent="0.25">
      <c r="B62" s="27"/>
      <c r="C62" s="27"/>
      <c r="D62" s="27"/>
      <c r="E62" s="27"/>
      <c r="H62" s="38"/>
      <c r="I62" s="27"/>
      <c r="J62" s="27"/>
      <c r="K62" s="27"/>
      <c r="N62" s="38"/>
      <c r="O62" s="27"/>
      <c r="P62" s="27"/>
      <c r="Q62" s="27"/>
    </row>
    <row r="63" spans="1:18" s="28" customFormat="1" ht="18" x14ac:dyDescent="0.25">
      <c r="A63" s="38"/>
      <c r="B63" s="27"/>
      <c r="C63" s="27"/>
      <c r="D63" s="27"/>
      <c r="E63" s="27"/>
      <c r="H63" s="38"/>
      <c r="I63" s="27"/>
      <c r="J63" s="27"/>
      <c r="K63" s="27"/>
      <c r="N63" s="38"/>
      <c r="O63" s="27"/>
      <c r="P63" s="27"/>
      <c r="Q63" s="27"/>
    </row>
    <row r="64" spans="1:18" s="28" customFormat="1" ht="18" x14ac:dyDescent="0.25">
      <c r="A64" s="38"/>
      <c r="B64" s="27"/>
      <c r="C64" s="27"/>
      <c r="D64" s="27"/>
      <c r="E64" s="27"/>
      <c r="H64" s="38"/>
      <c r="I64" s="27"/>
      <c r="J64" s="27"/>
      <c r="K64" s="27"/>
      <c r="N64" s="38"/>
      <c r="O64" s="27"/>
      <c r="P64" s="27"/>
      <c r="Q64" s="27"/>
    </row>
    <row r="65" spans="1:6" s="28" customFormat="1" ht="18" x14ac:dyDescent="0.25">
      <c r="A65" s="38"/>
      <c r="B65" s="27"/>
      <c r="C65" s="27"/>
      <c r="D65" s="27"/>
      <c r="E65" s="27"/>
    </row>
    <row r="66" spans="1:6" ht="18" x14ac:dyDescent="0.25">
      <c r="A66" s="38"/>
      <c r="B66" s="27"/>
      <c r="C66" s="27"/>
      <c r="D66" s="27"/>
      <c r="E66" s="27"/>
      <c r="F66" s="28"/>
    </row>
    <row r="67" spans="1:6" x14ac:dyDescent="0.25">
      <c r="A67" s="28"/>
      <c r="B67" s="28"/>
      <c r="C67" s="28"/>
      <c r="D67" s="28"/>
      <c r="E67" s="28"/>
      <c r="F67" s="28"/>
    </row>
  </sheetData>
  <mergeCells count="10">
    <mergeCell ref="N5:O5"/>
    <mergeCell ref="N6:N7"/>
    <mergeCell ref="N39:O39"/>
    <mergeCell ref="A41:B41"/>
    <mergeCell ref="A5:B5"/>
    <mergeCell ref="H5:I5"/>
    <mergeCell ref="A6:A7"/>
    <mergeCell ref="H6:H7"/>
    <mergeCell ref="H39:I39"/>
    <mergeCell ref="E41:F41"/>
  </mergeCells>
  <pageMargins left="0.7" right="0.7" top="0.75" bottom="0.75" header="0.3" footer="0.3"/>
  <pageSetup paperSize="9" scale="89" orientation="portrait" r:id="rId1"/>
  <rowBreaks count="1" manualBreakCount="1">
    <brk id="40" max="16383" man="1"/>
  </rowBreaks>
  <colBreaks count="1" manualBreakCount="1">
    <brk id="6" max="1048575" man="1"/>
  </colBreaks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7"/>
  <sheetViews>
    <sheetView topLeftCell="B19" zoomScaleNormal="100" workbookViewId="0">
      <selection activeCell="D42" sqref="D42"/>
    </sheetView>
  </sheetViews>
  <sheetFormatPr defaultRowHeight="15" x14ac:dyDescent="0.25"/>
  <cols>
    <col min="1" max="1" width="27.5703125" customWidth="1"/>
    <col min="2" max="2" width="11.5703125" customWidth="1"/>
    <col min="3" max="3" width="13.140625" customWidth="1"/>
    <col min="4" max="4" width="16.28515625" customWidth="1"/>
    <col min="5" max="5" width="15" customWidth="1"/>
    <col min="6" max="6" width="16" customWidth="1"/>
    <col min="7" max="7" width="7.7109375" customWidth="1"/>
    <col min="8" max="8" width="28.85546875" customWidth="1"/>
    <col min="9" max="9" width="11.42578125" customWidth="1"/>
    <col min="10" max="10" width="14.28515625" customWidth="1"/>
    <col min="11" max="11" width="15" customWidth="1"/>
    <col min="12" max="12" width="14.5703125" customWidth="1"/>
    <col min="14" max="14" width="28.85546875" customWidth="1"/>
    <col min="15" max="15" width="11.42578125" customWidth="1"/>
    <col min="16" max="16" width="16.28515625" customWidth="1"/>
    <col min="17" max="17" width="15" customWidth="1"/>
    <col min="18" max="18" width="14.5703125" customWidth="1"/>
  </cols>
  <sheetData>
    <row r="1" spans="1:18" ht="18.75" x14ac:dyDescent="0.3">
      <c r="B1" s="1" t="s">
        <v>61</v>
      </c>
      <c r="C1" s="1"/>
      <c r="D1" s="1"/>
      <c r="E1" s="1"/>
      <c r="I1" s="1" t="s">
        <v>55</v>
      </c>
      <c r="K1" s="1"/>
      <c r="O1" s="1" t="s">
        <v>119</v>
      </c>
      <c r="Q1" s="1"/>
    </row>
    <row r="2" spans="1:18" ht="18.75" x14ac:dyDescent="0.3">
      <c r="B2" s="1" t="s">
        <v>52</v>
      </c>
      <c r="C2" s="1"/>
      <c r="D2" s="1"/>
      <c r="E2" s="1"/>
      <c r="I2" s="1" t="s">
        <v>52</v>
      </c>
      <c r="K2" s="1"/>
      <c r="O2" s="1" t="s">
        <v>52</v>
      </c>
      <c r="Q2" s="1"/>
    </row>
    <row r="3" spans="1:18" ht="18.75" x14ac:dyDescent="0.3">
      <c r="B3" s="1"/>
      <c r="C3" s="1"/>
      <c r="D3" s="1"/>
      <c r="E3" s="1"/>
      <c r="I3" s="1"/>
      <c r="J3" s="1"/>
      <c r="K3" s="1"/>
      <c r="O3" s="1"/>
      <c r="P3" s="1"/>
      <c r="Q3" s="1"/>
    </row>
    <row r="4" spans="1:18" ht="19.5" thickBot="1" x14ac:dyDescent="0.35">
      <c r="F4" s="1"/>
      <c r="L4" s="1"/>
      <c r="R4" s="1"/>
    </row>
    <row r="5" spans="1:18" ht="63.75" thickBot="1" x14ac:dyDescent="0.4">
      <c r="A5" s="88" t="s">
        <v>62</v>
      </c>
      <c r="B5" s="89"/>
      <c r="C5" s="8" t="s">
        <v>58</v>
      </c>
      <c r="D5" s="8" t="s">
        <v>60</v>
      </c>
      <c r="E5" s="58" t="s">
        <v>142</v>
      </c>
      <c r="F5" s="10" t="s">
        <v>39</v>
      </c>
      <c r="H5" s="88" t="s">
        <v>43</v>
      </c>
      <c r="I5" s="89"/>
      <c r="J5" s="8" t="s">
        <v>117</v>
      </c>
      <c r="K5" s="58" t="s">
        <v>142</v>
      </c>
      <c r="L5" s="10" t="s">
        <v>39</v>
      </c>
      <c r="N5" s="88" t="s">
        <v>43</v>
      </c>
      <c r="O5" s="89"/>
      <c r="P5" s="8" t="s">
        <v>117</v>
      </c>
      <c r="Q5" s="58" t="s">
        <v>142</v>
      </c>
      <c r="R5" s="10" t="s">
        <v>39</v>
      </c>
    </row>
    <row r="6" spans="1:18" ht="18.75" x14ac:dyDescent="0.3">
      <c r="A6" s="90" t="s">
        <v>0</v>
      </c>
      <c r="B6" s="11" t="s">
        <v>1</v>
      </c>
      <c r="C6" s="22">
        <v>590000</v>
      </c>
      <c r="D6" s="22">
        <f>C6+10000+1323.39+2540.3+298.57</f>
        <v>604162.26</v>
      </c>
      <c r="E6" s="18">
        <f>39656.85+40295.33+44324.47+50538.33+56592.72+46702.05+43881.77+54648.97+60845.76+48593.58+105601.4</f>
        <v>591681.23</v>
      </c>
      <c r="F6" s="14">
        <f>D6-E6</f>
        <v>12481.030000000028</v>
      </c>
      <c r="H6" s="90" t="s">
        <v>0</v>
      </c>
      <c r="I6" s="11" t="s">
        <v>1</v>
      </c>
      <c r="J6" s="22"/>
      <c r="K6" s="18">
        <f>8838.8+1261.5</f>
        <v>10100.299999999999</v>
      </c>
      <c r="L6" s="14">
        <f>J6-K6</f>
        <v>-10100.299999999999</v>
      </c>
      <c r="N6" s="90" t="s">
        <v>0</v>
      </c>
      <c r="O6" s="11" t="s">
        <v>1</v>
      </c>
      <c r="P6" s="22"/>
      <c r="Q6" s="18"/>
      <c r="R6" s="14">
        <f>P6-Q6</f>
        <v>0</v>
      </c>
    </row>
    <row r="7" spans="1:18" ht="18.75" x14ac:dyDescent="0.3">
      <c r="A7" s="91"/>
      <c r="B7" s="3" t="s">
        <v>2</v>
      </c>
      <c r="C7" s="23">
        <f>SUM(C8:C11)</f>
        <v>28000</v>
      </c>
      <c r="D7" s="22">
        <f t="shared" ref="D7:D33" si="0">C7</f>
        <v>28000</v>
      </c>
      <c r="E7" s="17">
        <f>SUM(E8:E11)</f>
        <v>23321.379999999997</v>
      </c>
      <c r="F7" s="15">
        <f t="shared" ref="F7:F35" si="1">D7-E7</f>
        <v>4678.6200000000026</v>
      </c>
      <c r="H7" s="91"/>
      <c r="I7" s="3" t="s">
        <v>2</v>
      </c>
      <c r="J7" s="23"/>
      <c r="K7" s="17"/>
      <c r="L7" s="15">
        <f t="shared" ref="L7:L11" si="2">J7-K7</f>
        <v>0</v>
      </c>
      <c r="N7" s="91"/>
      <c r="O7" s="3" t="s">
        <v>2</v>
      </c>
      <c r="P7" s="23"/>
      <c r="Q7" s="17"/>
      <c r="R7" s="15">
        <f t="shared" ref="R7:R11" si="3">P7-Q7</f>
        <v>0</v>
      </c>
    </row>
    <row r="8" spans="1:18" ht="18.75" x14ac:dyDescent="0.3">
      <c r="A8" s="7" t="s">
        <v>3</v>
      </c>
      <c r="B8" s="4" t="s">
        <v>4</v>
      </c>
      <c r="C8" s="24">
        <v>5000</v>
      </c>
      <c r="D8" s="22">
        <f t="shared" si="0"/>
        <v>5000</v>
      </c>
      <c r="E8" s="19">
        <f>750+925+1075+1000+500</f>
        <v>4250</v>
      </c>
      <c r="F8" s="16">
        <f t="shared" si="1"/>
        <v>750</v>
      </c>
      <c r="H8" s="7" t="s">
        <v>3</v>
      </c>
      <c r="I8" s="4" t="s">
        <v>4</v>
      </c>
      <c r="J8" s="24"/>
      <c r="K8" s="19"/>
      <c r="L8" s="16">
        <f t="shared" si="2"/>
        <v>0</v>
      </c>
      <c r="N8" s="7" t="s">
        <v>3</v>
      </c>
      <c r="O8" s="4" t="s">
        <v>4</v>
      </c>
      <c r="P8" s="24"/>
      <c r="Q8" s="19"/>
      <c r="R8" s="16">
        <f t="shared" si="3"/>
        <v>0</v>
      </c>
    </row>
    <row r="9" spans="1:18" ht="18.75" x14ac:dyDescent="0.3">
      <c r="A9" s="7" t="s">
        <v>5</v>
      </c>
      <c r="B9" s="4" t="s">
        <v>6</v>
      </c>
      <c r="C9" s="24">
        <v>20000</v>
      </c>
      <c r="D9" s="22">
        <f t="shared" si="0"/>
        <v>20000</v>
      </c>
      <c r="E9" s="19">
        <f>750.22+723.76+723.76+723.76+723.76+763.15+823.15+823.15+823.15+9223.15+1646.3</f>
        <v>17747.309999999998</v>
      </c>
      <c r="F9" s="16">
        <f t="shared" si="1"/>
        <v>2252.6900000000023</v>
      </c>
      <c r="H9" s="7" t="s">
        <v>5</v>
      </c>
      <c r="I9" s="4" t="s">
        <v>6</v>
      </c>
      <c r="J9" s="24"/>
      <c r="K9" s="19"/>
      <c r="L9" s="16">
        <f t="shared" si="2"/>
        <v>0</v>
      </c>
      <c r="N9" s="7" t="s">
        <v>5</v>
      </c>
      <c r="O9" s="4" t="s">
        <v>6</v>
      </c>
      <c r="P9" s="24"/>
      <c r="Q9" s="19"/>
      <c r="R9" s="16">
        <f t="shared" si="3"/>
        <v>0</v>
      </c>
    </row>
    <row r="10" spans="1:18" ht="18.75" x14ac:dyDescent="0.3">
      <c r="A10" s="7" t="s">
        <v>7</v>
      </c>
      <c r="B10" s="4" t="s">
        <v>8</v>
      </c>
      <c r="C10" s="21"/>
      <c r="D10" s="22">
        <f t="shared" si="0"/>
        <v>0</v>
      </c>
      <c r="E10" s="19"/>
      <c r="F10" s="16">
        <f t="shared" si="1"/>
        <v>0</v>
      </c>
      <c r="H10" s="7" t="s">
        <v>7</v>
      </c>
      <c r="I10" s="4" t="s">
        <v>8</v>
      </c>
      <c r="J10" s="21"/>
      <c r="K10" s="19"/>
      <c r="L10" s="16">
        <f t="shared" si="2"/>
        <v>0</v>
      </c>
      <c r="N10" s="7" t="s">
        <v>7</v>
      </c>
      <c r="O10" s="4" t="s">
        <v>8</v>
      </c>
      <c r="P10" s="21"/>
      <c r="Q10" s="19"/>
      <c r="R10" s="16">
        <f t="shared" si="3"/>
        <v>0</v>
      </c>
    </row>
    <row r="11" spans="1:18" ht="18.75" x14ac:dyDescent="0.3">
      <c r="A11" s="7" t="s">
        <v>9</v>
      </c>
      <c r="B11" s="4" t="s">
        <v>10</v>
      </c>
      <c r="C11" s="24">
        <v>3000</v>
      </c>
      <c r="D11" s="22">
        <f t="shared" si="0"/>
        <v>3000</v>
      </c>
      <c r="E11" s="19">
        <f>317.08+153.39+267.14+187.34+240.01+159.11</f>
        <v>1324.0700000000002</v>
      </c>
      <c r="F11" s="16">
        <f t="shared" si="1"/>
        <v>1675.9299999999998</v>
      </c>
      <c r="H11" s="7" t="s">
        <v>9</v>
      </c>
      <c r="I11" s="4" t="s">
        <v>10</v>
      </c>
      <c r="J11" s="24"/>
      <c r="K11" s="19"/>
      <c r="L11" s="16">
        <f t="shared" si="2"/>
        <v>0</v>
      </c>
      <c r="N11" s="7" t="s">
        <v>9</v>
      </c>
      <c r="O11" s="4" t="s">
        <v>10</v>
      </c>
      <c r="P11" s="24"/>
      <c r="Q11" s="19"/>
      <c r="R11" s="16">
        <f t="shared" si="3"/>
        <v>0</v>
      </c>
    </row>
    <row r="12" spans="1:18" ht="18.75" x14ac:dyDescent="0.3">
      <c r="A12" s="7"/>
      <c r="B12" s="4"/>
      <c r="C12" s="24"/>
      <c r="D12" s="22">
        <f t="shared" si="0"/>
        <v>0</v>
      </c>
      <c r="E12" s="19"/>
      <c r="F12" s="16"/>
      <c r="H12" s="7"/>
      <c r="I12" s="4"/>
      <c r="J12" s="24"/>
      <c r="K12" s="19"/>
      <c r="L12" s="16"/>
      <c r="N12" s="7"/>
      <c r="O12" s="4"/>
      <c r="P12" s="24"/>
      <c r="Q12" s="19"/>
      <c r="R12" s="16"/>
    </row>
    <row r="13" spans="1:18" ht="18.75" x14ac:dyDescent="0.3">
      <c r="A13" s="7" t="s">
        <v>11</v>
      </c>
      <c r="B13" s="3" t="s">
        <v>12</v>
      </c>
      <c r="C13" s="23">
        <f>SUM(C14:C17)</f>
        <v>144117.59999999998</v>
      </c>
      <c r="D13" s="22">
        <f>D14+D15+D16+D17</f>
        <v>146758.21</v>
      </c>
      <c r="E13" s="23">
        <f>SUM(E14:E17)</f>
        <v>134206.81</v>
      </c>
      <c r="F13" s="15">
        <f>D13-E13</f>
        <v>12551.399999999994</v>
      </c>
      <c r="H13" s="7" t="s">
        <v>11</v>
      </c>
      <c r="I13" s="3" t="s">
        <v>12</v>
      </c>
      <c r="J13" s="23"/>
      <c r="K13" s="23">
        <f>K14+K15+K16+K17</f>
        <v>2338.6999999999998</v>
      </c>
      <c r="L13" s="15">
        <f>J13-K13</f>
        <v>-2338.6999999999998</v>
      </c>
      <c r="N13" s="7" t="s">
        <v>11</v>
      </c>
      <c r="O13" s="3" t="s">
        <v>12</v>
      </c>
      <c r="P13" s="23"/>
      <c r="Q13" s="23"/>
      <c r="R13" s="15">
        <f>P13-Q13</f>
        <v>0</v>
      </c>
    </row>
    <row r="14" spans="1:18" ht="18.75" x14ac:dyDescent="0.3">
      <c r="A14" s="7" t="s">
        <v>13</v>
      </c>
      <c r="B14" s="4" t="s">
        <v>14</v>
      </c>
      <c r="C14" s="24">
        <f>(C6+C7)*11.42%</f>
        <v>70575.599999999991</v>
      </c>
      <c r="D14" s="22">
        <f>C14+1142+151.13</f>
        <v>71868.73</v>
      </c>
      <c r="E14" s="19">
        <f>4773.81+4821.94+5289.16+6088.51+6339.55+5158.35+5203.75+6491.47+6750.75+5787.79+12278.48</f>
        <v>68983.56</v>
      </c>
      <c r="F14" s="16">
        <f>D14-E14</f>
        <v>2885.1699999999983</v>
      </c>
      <c r="H14" s="7" t="s">
        <v>13</v>
      </c>
      <c r="I14" s="4" t="s">
        <v>14</v>
      </c>
      <c r="J14" s="24"/>
      <c r="K14" s="19">
        <f>1009.4+144.07</f>
        <v>1153.47</v>
      </c>
      <c r="L14" s="16">
        <f>J14-K14</f>
        <v>-1153.47</v>
      </c>
      <c r="N14" s="7" t="s">
        <v>13</v>
      </c>
      <c r="O14" s="4" t="s">
        <v>14</v>
      </c>
      <c r="P14" s="24"/>
      <c r="Q14" s="19"/>
      <c r="R14" s="16">
        <f>P14-Q14</f>
        <v>0</v>
      </c>
    </row>
    <row r="15" spans="1:18" ht="18.75" x14ac:dyDescent="0.3">
      <c r="A15" s="7" t="s">
        <v>15</v>
      </c>
      <c r="B15" s="4" t="s">
        <v>16</v>
      </c>
      <c r="C15" s="24">
        <f>(C6+C7)*4.3%</f>
        <v>26573.999999999996</v>
      </c>
      <c r="D15" s="22">
        <f>C15+430+56.91</f>
        <v>27060.909999999996</v>
      </c>
      <c r="E15" s="19">
        <f>1561.59+1620.97+1768.38+1992.04+2105.28+1753.34+1759.8+2148.72+2243.03+1909.64+3983.91</f>
        <v>22846.699999999997</v>
      </c>
      <c r="F15" s="16">
        <f>D15-E15</f>
        <v>4214.2099999999991</v>
      </c>
      <c r="H15" s="7" t="s">
        <v>15</v>
      </c>
      <c r="I15" s="4" t="s">
        <v>16</v>
      </c>
      <c r="J15" s="24"/>
      <c r="K15" s="19">
        <f>380.04+35.32</f>
        <v>415.36</v>
      </c>
      <c r="L15" s="16">
        <f>J15-K15</f>
        <v>-415.36</v>
      </c>
      <c r="N15" s="7" t="s">
        <v>15</v>
      </c>
      <c r="O15" s="4" t="s">
        <v>16</v>
      </c>
      <c r="P15" s="24"/>
      <c r="Q15" s="19"/>
      <c r="R15" s="16">
        <f>P15-Q15</f>
        <v>0</v>
      </c>
    </row>
    <row r="16" spans="1:18" ht="18.75" x14ac:dyDescent="0.3">
      <c r="A16" s="7" t="s">
        <v>17</v>
      </c>
      <c r="B16" s="4" t="s">
        <v>18</v>
      </c>
      <c r="C16" s="24">
        <f>(C6+C7)*4.8%</f>
        <v>29664</v>
      </c>
      <c r="D16" s="22">
        <f>C16+480+63.52</f>
        <v>30207.52</v>
      </c>
      <c r="E16" s="19">
        <f>2022.39+2016.88+2200.55+2549.61+2667.8+2131.66+2140.16+2633.45+2743.33+2362.67+5001.64</f>
        <v>28470.14</v>
      </c>
      <c r="F16" s="16">
        <f t="shared" ref="F16:F17" si="4">D16-E16</f>
        <v>1737.380000000001</v>
      </c>
      <c r="H16" s="7" t="s">
        <v>17</v>
      </c>
      <c r="I16" s="4" t="s">
        <v>18</v>
      </c>
      <c r="J16" s="24"/>
      <c r="K16" s="19">
        <f>424.26+60.55</f>
        <v>484.81</v>
      </c>
      <c r="L16" s="16">
        <f t="shared" ref="L16:L17" si="5">J16-K16</f>
        <v>-484.81</v>
      </c>
      <c r="N16" s="7" t="s">
        <v>17</v>
      </c>
      <c r="O16" s="4" t="s">
        <v>18</v>
      </c>
      <c r="P16" s="24"/>
      <c r="Q16" s="19"/>
      <c r="R16" s="16">
        <f t="shared" ref="R16:R17" si="6">P16-Q16</f>
        <v>0</v>
      </c>
    </row>
    <row r="17" spans="1:18" ht="18.75" x14ac:dyDescent="0.3">
      <c r="A17" s="7" t="s">
        <v>19</v>
      </c>
      <c r="B17" s="4" t="s">
        <v>20</v>
      </c>
      <c r="C17" s="24">
        <f>(C6+C7)*2.8%</f>
        <v>17304</v>
      </c>
      <c r="D17" s="22">
        <f>C17+280+37.05</f>
        <v>17621.05</v>
      </c>
      <c r="E17" s="19">
        <f>958.22+974.01+1064.15+1235.05+1273.58+1003.49+1040.96+1310.11+1376.56+1171.69+2498.59</f>
        <v>13906.41</v>
      </c>
      <c r="F17" s="16">
        <f t="shared" si="4"/>
        <v>3714.6399999999994</v>
      </c>
      <c r="H17" s="7" t="s">
        <v>19</v>
      </c>
      <c r="I17" s="4" t="s">
        <v>20</v>
      </c>
      <c r="J17" s="24"/>
      <c r="K17" s="19">
        <f>247.5+37.56</f>
        <v>285.06</v>
      </c>
      <c r="L17" s="16">
        <f t="shared" si="5"/>
        <v>-285.06</v>
      </c>
      <c r="N17" s="7" t="s">
        <v>19</v>
      </c>
      <c r="O17" s="4" t="s">
        <v>20</v>
      </c>
      <c r="P17" s="24"/>
      <c r="Q17" s="19"/>
      <c r="R17" s="16">
        <f t="shared" si="6"/>
        <v>0</v>
      </c>
    </row>
    <row r="18" spans="1:18" ht="18.75" x14ac:dyDescent="0.3">
      <c r="A18" s="47"/>
      <c r="B18" s="4"/>
      <c r="C18" s="24"/>
      <c r="D18" s="22">
        <f t="shared" si="0"/>
        <v>0</v>
      </c>
      <c r="E18" s="19"/>
      <c r="F18" s="16"/>
      <c r="H18" s="47"/>
      <c r="I18" s="4"/>
      <c r="J18" s="24"/>
      <c r="K18" s="19"/>
      <c r="L18" s="16"/>
      <c r="N18" s="47"/>
      <c r="O18" s="4"/>
      <c r="P18" s="24"/>
      <c r="Q18" s="19"/>
      <c r="R18" s="16"/>
    </row>
    <row r="19" spans="1:18" ht="18.75" x14ac:dyDescent="0.3">
      <c r="A19" s="48" t="s">
        <v>40</v>
      </c>
      <c r="B19" s="4" t="s">
        <v>29</v>
      </c>
      <c r="C19" s="24">
        <f>SUM(C20:C29)</f>
        <v>104638</v>
      </c>
      <c r="D19" s="22">
        <f>D20+D21+D22+D23+D24+D25+D26+D27+D28+D29</f>
        <v>135746.9</v>
      </c>
      <c r="E19" s="17">
        <f>SUM(E20:E29)</f>
        <v>110409.54</v>
      </c>
      <c r="F19" s="15">
        <f t="shared" si="1"/>
        <v>25337.360000000001</v>
      </c>
      <c r="H19" s="48" t="s">
        <v>40</v>
      </c>
      <c r="I19" s="4" t="s">
        <v>29</v>
      </c>
      <c r="J19" s="24"/>
      <c r="K19" s="17">
        <f>K20+K21+K22+K23+K24+K25+K26+K27+K28+K29</f>
        <v>4540</v>
      </c>
      <c r="L19" s="15">
        <f>J19-K19</f>
        <v>-4540</v>
      </c>
      <c r="N19" s="48" t="s">
        <v>40</v>
      </c>
      <c r="O19" s="4" t="s">
        <v>29</v>
      </c>
      <c r="P19" s="24"/>
      <c r="Q19" s="17"/>
      <c r="R19" s="15">
        <f>P19-Q19</f>
        <v>0</v>
      </c>
    </row>
    <row r="20" spans="1:18" ht="18.75" x14ac:dyDescent="0.3">
      <c r="A20" s="43" t="s">
        <v>21</v>
      </c>
      <c r="B20" s="44" t="s">
        <v>22</v>
      </c>
      <c r="C20" s="45">
        <v>35000</v>
      </c>
      <c r="D20" s="22">
        <f t="shared" si="0"/>
        <v>35000</v>
      </c>
      <c r="E20" s="49">
        <f>3246+3872+3105.5+3168+2812.5+2052.5+327.76+4923.3+5912.75</f>
        <v>29420.309999999998</v>
      </c>
      <c r="F20" s="16">
        <f t="shared" si="1"/>
        <v>5579.6900000000023</v>
      </c>
      <c r="H20" s="43" t="s">
        <v>21</v>
      </c>
      <c r="I20" s="44" t="s">
        <v>22</v>
      </c>
      <c r="J20" s="45"/>
      <c r="K20" s="49"/>
      <c r="L20" s="16">
        <f t="shared" ref="L20" si="7">J20-K20</f>
        <v>0</v>
      </c>
      <c r="N20" s="43" t="s">
        <v>21</v>
      </c>
      <c r="O20" s="44" t="s">
        <v>22</v>
      </c>
      <c r="P20" s="45"/>
      <c r="Q20" s="49"/>
      <c r="R20" s="16">
        <f t="shared" ref="R20" si="8">P20-Q20</f>
        <v>0</v>
      </c>
    </row>
    <row r="21" spans="1:18" ht="18.75" x14ac:dyDescent="0.3">
      <c r="A21" s="43" t="s">
        <v>41</v>
      </c>
      <c r="B21" s="44" t="s">
        <v>30</v>
      </c>
      <c r="C21" s="45"/>
      <c r="D21" s="22">
        <f t="shared" si="0"/>
        <v>0</v>
      </c>
      <c r="E21" s="46"/>
      <c r="F21" s="15"/>
      <c r="H21" s="43" t="s">
        <v>41</v>
      </c>
      <c r="I21" s="44" t="s">
        <v>30</v>
      </c>
      <c r="J21" s="45"/>
      <c r="K21" s="46"/>
      <c r="L21" s="15"/>
      <c r="N21" s="43" t="s">
        <v>41</v>
      </c>
      <c r="O21" s="44" t="s">
        <v>30</v>
      </c>
      <c r="P21" s="45"/>
      <c r="Q21" s="46"/>
      <c r="R21" s="15"/>
    </row>
    <row r="22" spans="1:18" ht="18.75" x14ac:dyDescent="0.3">
      <c r="A22" s="43" t="s">
        <v>42</v>
      </c>
      <c r="B22" s="44" t="s">
        <v>31</v>
      </c>
      <c r="C22" s="45">
        <v>1000</v>
      </c>
      <c r="D22" s="22">
        <f t="shared" si="0"/>
        <v>1000</v>
      </c>
      <c r="E22" s="49">
        <f>900</f>
        <v>900</v>
      </c>
      <c r="F22" s="16">
        <f t="shared" si="1"/>
        <v>100</v>
      </c>
      <c r="H22" s="43" t="s">
        <v>42</v>
      </c>
      <c r="I22" s="44" t="s">
        <v>31</v>
      </c>
      <c r="J22" s="45"/>
      <c r="K22" s="49"/>
      <c r="L22" s="16">
        <f t="shared" ref="L22:L23" si="9">J22-K22</f>
        <v>0</v>
      </c>
      <c r="N22" s="43" t="s">
        <v>42</v>
      </c>
      <c r="O22" s="44" t="s">
        <v>31</v>
      </c>
      <c r="P22" s="45"/>
      <c r="Q22" s="49"/>
      <c r="R22" s="16">
        <f t="shared" ref="R22:R23" si="10">P22-Q22</f>
        <v>0</v>
      </c>
    </row>
    <row r="23" spans="1:18" ht="18.75" x14ac:dyDescent="0.3">
      <c r="A23" s="7" t="s">
        <v>23</v>
      </c>
      <c r="B23" s="12" t="s">
        <v>24</v>
      </c>
      <c r="C23" s="21"/>
      <c r="D23" s="22">
        <f>C23+7331.03+480.87</f>
        <v>7811.9</v>
      </c>
      <c r="E23" s="19">
        <f>7811.9</f>
        <v>7811.9</v>
      </c>
      <c r="F23" s="16">
        <f t="shared" si="1"/>
        <v>0</v>
      </c>
      <c r="H23" s="7" t="s">
        <v>23</v>
      </c>
      <c r="I23" s="12" t="s">
        <v>24</v>
      </c>
      <c r="J23" s="21"/>
      <c r="K23" s="19"/>
      <c r="L23" s="16">
        <f t="shared" si="9"/>
        <v>0</v>
      </c>
      <c r="N23" s="7" t="s">
        <v>23</v>
      </c>
      <c r="O23" s="12" t="s">
        <v>24</v>
      </c>
      <c r="P23" s="21"/>
      <c r="Q23" s="19"/>
      <c r="R23" s="16">
        <f t="shared" si="10"/>
        <v>0</v>
      </c>
    </row>
    <row r="24" spans="1:18" ht="18.75" x14ac:dyDescent="0.3">
      <c r="A24" s="7" t="s">
        <v>32</v>
      </c>
      <c r="B24" s="12" t="s">
        <v>33</v>
      </c>
      <c r="C24" s="24">
        <v>10000</v>
      </c>
      <c r="D24" s="22">
        <f>C24+11652</f>
        <v>21652</v>
      </c>
      <c r="E24" s="19">
        <f>410.08+3595.84+620.4+2669.94+98.8+1936.31+1220.9+1760+2055.4+978.02+523+458.55</f>
        <v>16327.24</v>
      </c>
      <c r="F24" s="16">
        <f>D24-E24</f>
        <v>5324.76</v>
      </c>
      <c r="H24" s="7" t="s">
        <v>32</v>
      </c>
      <c r="I24" s="12" t="s">
        <v>33</v>
      </c>
      <c r="J24" s="24"/>
      <c r="K24" s="19">
        <f>178+232.08+1095.12+2580</f>
        <v>4085.2</v>
      </c>
      <c r="L24" s="16">
        <f>J24-K24</f>
        <v>-4085.2</v>
      </c>
      <c r="N24" s="7" t="s">
        <v>32</v>
      </c>
      <c r="O24" s="12" t="s">
        <v>33</v>
      </c>
      <c r="P24" s="57">
        <f>20466.24+57835.48</f>
        <v>78301.72</v>
      </c>
      <c r="Q24" s="19">
        <f>75239.19+3618.25-555.72</f>
        <v>78301.72</v>
      </c>
      <c r="R24" s="16">
        <f>P24-Q24</f>
        <v>0</v>
      </c>
    </row>
    <row r="25" spans="1:18" ht="18.75" x14ac:dyDescent="0.3">
      <c r="A25" s="7" t="s">
        <v>34</v>
      </c>
      <c r="B25" s="4" t="s">
        <v>35</v>
      </c>
      <c r="C25" s="24">
        <v>16638</v>
      </c>
      <c r="D25" s="22">
        <f t="shared" si="0"/>
        <v>16638</v>
      </c>
      <c r="E25" s="19">
        <f>233.79+240.68+242.51+345.23+229.06+202.49+187.93+11044.84+134.45+194.3+175.49+266.09</f>
        <v>13496.86</v>
      </c>
      <c r="F25" s="16">
        <f>D25-E25</f>
        <v>3141.1399999999994</v>
      </c>
      <c r="H25" s="7" t="s">
        <v>34</v>
      </c>
      <c r="I25" s="4" t="s">
        <v>35</v>
      </c>
      <c r="J25" s="24"/>
      <c r="K25" s="19"/>
      <c r="L25" s="16">
        <f>J25-K25</f>
        <v>0</v>
      </c>
      <c r="N25" s="7" t="s">
        <v>34</v>
      </c>
      <c r="O25" s="4" t="s">
        <v>35</v>
      </c>
      <c r="P25" s="24"/>
      <c r="Q25" s="19"/>
      <c r="R25" s="16">
        <f>P25-Q25</f>
        <v>0</v>
      </c>
    </row>
    <row r="26" spans="1:18" ht="18.75" x14ac:dyDescent="0.3">
      <c r="A26" s="42" t="s">
        <v>44</v>
      </c>
      <c r="B26" s="12" t="s">
        <v>25</v>
      </c>
      <c r="C26" s="24">
        <v>30000</v>
      </c>
      <c r="D26" s="22">
        <f>C26+3522.56+2122.44+6000</f>
        <v>41645</v>
      </c>
      <c r="E26" s="19">
        <f>584.22+2186.87+656.74+1297.43+5163.95+2776.24+1093.98+320.89+3074.07+3665.83+17350.96+3054.25</f>
        <v>41225.43</v>
      </c>
      <c r="F26" s="15">
        <f t="shared" si="1"/>
        <v>419.56999999999971</v>
      </c>
      <c r="H26" s="42" t="s">
        <v>44</v>
      </c>
      <c r="I26" s="12" t="s">
        <v>25</v>
      </c>
      <c r="J26" s="24"/>
      <c r="K26" s="19">
        <f>454.8</f>
        <v>454.8</v>
      </c>
      <c r="L26" s="15">
        <f t="shared" ref="L26:L28" si="11">J26-K26</f>
        <v>-454.8</v>
      </c>
      <c r="N26" s="42" t="s">
        <v>44</v>
      </c>
      <c r="O26" s="12" t="s">
        <v>25</v>
      </c>
      <c r="P26" s="24"/>
      <c r="Q26" s="19"/>
      <c r="R26" s="15">
        <f t="shared" ref="R26:R33" si="12">P26-Q26</f>
        <v>0</v>
      </c>
    </row>
    <row r="27" spans="1:18" ht="18.75" x14ac:dyDescent="0.3">
      <c r="A27" s="42" t="s">
        <v>36</v>
      </c>
      <c r="B27" s="12" t="s">
        <v>37</v>
      </c>
      <c r="C27" s="24">
        <v>10000</v>
      </c>
      <c r="D27" s="22">
        <f t="shared" si="0"/>
        <v>10000</v>
      </c>
      <c r="E27" s="19"/>
      <c r="F27" s="16">
        <f t="shared" si="1"/>
        <v>10000</v>
      </c>
      <c r="H27" s="42" t="s">
        <v>36</v>
      </c>
      <c r="I27" s="12" t="s">
        <v>37</v>
      </c>
      <c r="J27" s="24"/>
      <c r="K27" s="19"/>
      <c r="L27" s="16">
        <f t="shared" si="11"/>
        <v>0</v>
      </c>
      <c r="N27" s="42" t="s">
        <v>36</v>
      </c>
      <c r="O27" s="12" t="s">
        <v>37</v>
      </c>
      <c r="P27" s="24"/>
      <c r="Q27" s="19"/>
      <c r="R27" s="16">
        <f t="shared" si="12"/>
        <v>0</v>
      </c>
    </row>
    <row r="28" spans="1:18" ht="18.75" x14ac:dyDescent="0.3">
      <c r="A28" s="42" t="s">
        <v>45</v>
      </c>
      <c r="B28" s="12" t="s">
        <v>38</v>
      </c>
      <c r="C28" s="24">
        <v>2000</v>
      </c>
      <c r="D28" s="22">
        <f t="shared" si="0"/>
        <v>2000</v>
      </c>
      <c r="E28" s="19">
        <f>50+50+148+276+246+97+48.8+88+224</f>
        <v>1227.8</v>
      </c>
      <c r="F28" s="16">
        <f t="shared" si="1"/>
        <v>772.2</v>
      </c>
      <c r="H28" s="42" t="s">
        <v>45</v>
      </c>
      <c r="I28" s="12" t="s">
        <v>38</v>
      </c>
      <c r="J28" s="24"/>
      <c r="K28" s="19"/>
      <c r="L28" s="16">
        <f t="shared" si="11"/>
        <v>0</v>
      </c>
      <c r="N28" s="7" t="s">
        <v>74</v>
      </c>
      <c r="O28" s="12" t="s">
        <v>120</v>
      </c>
      <c r="P28" s="57">
        <v>27137.3</v>
      </c>
      <c r="Q28" s="19">
        <v>27137.31</v>
      </c>
      <c r="R28" s="16">
        <f t="shared" si="12"/>
        <v>-1.0000000002037268E-2</v>
      </c>
    </row>
    <row r="29" spans="1:18" ht="18.75" x14ac:dyDescent="0.3">
      <c r="A29" s="42" t="s">
        <v>46</v>
      </c>
      <c r="B29" s="12" t="s">
        <v>49</v>
      </c>
      <c r="C29" s="24"/>
      <c r="D29" s="22">
        <f t="shared" si="0"/>
        <v>0</v>
      </c>
      <c r="E29" s="19"/>
      <c r="F29" s="16"/>
      <c r="H29" s="42" t="s">
        <v>46</v>
      </c>
      <c r="I29" s="12" t="s">
        <v>49</v>
      </c>
      <c r="J29" s="24"/>
      <c r="K29" s="19"/>
      <c r="L29" s="16"/>
      <c r="N29" s="42" t="s">
        <v>132</v>
      </c>
      <c r="O29" s="12" t="s">
        <v>121</v>
      </c>
      <c r="P29" s="57">
        <v>29903.759999999998</v>
      </c>
      <c r="Q29" s="19">
        <f>15310.08+14593.68</f>
        <v>29903.760000000002</v>
      </c>
      <c r="R29" s="16">
        <f t="shared" si="12"/>
        <v>0</v>
      </c>
    </row>
    <row r="30" spans="1:18" ht="18.75" x14ac:dyDescent="0.3">
      <c r="A30" s="42" t="s">
        <v>47</v>
      </c>
      <c r="B30" s="12" t="s">
        <v>50</v>
      </c>
      <c r="C30" s="24">
        <v>300</v>
      </c>
      <c r="D30" s="22">
        <f t="shared" si="0"/>
        <v>300</v>
      </c>
      <c r="E30" s="19">
        <v>280.86</v>
      </c>
      <c r="F30" s="16">
        <f t="shared" si="1"/>
        <v>19.139999999999986</v>
      </c>
      <c r="H30" s="42" t="s">
        <v>47</v>
      </c>
      <c r="I30" s="12" t="s">
        <v>50</v>
      </c>
      <c r="J30" s="24"/>
      <c r="K30" s="19"/>
      <c r="L30" s="16">
        <f t="shared" ref="L30:L33" si="13">J30-K30</f>
        <v>0</v>
      </c>
      <c r="N30" s="42" t="s">
        <v>133</v>
      </c>
      <c r="O30" s="12" t="s">
        <v>122</v>
      </c>
      <c r="P30" s="57">
        <v>39744.57</v>
      </c>
      <c r="Q30" s="19">
        <f>31993.41+555.73</f>
        <v>32549.14</v>
      </c>
      <c r="R30" s="16">
        <f t="shared" si="12"/>
        <v>7195.43</v>
      </c>
    </row>
    <row r="31" spans="1:18" ht="18.75" x14ac:dyDescent="0.3">
      <c r="A31" s="7" t="s">
        <v>48</v>
      </c>
      <c r="B31" s="12" t="s">
        <v>51</v>
      </c>
      <c r="C31" s="24"/>
      <c r="D31" s="22">
        <f t="shared" si="0"/>
        <v>0</v>
      </c>
      <c r="E31" s="19"/>
      <c r="F31" s="16">
        <f t="shared" si="1"/>
        <v>0</v>
      </c>
      <c r="H31" s="7" t="s">
        <v>48</v>
      </c>
      <c r="I31" s="12" t="s">
        <v>51</v>
      </c>
      <c r="J31" s="24"/>
      <c r="K31" s="19"/>
      <c r="L31" s="16">
        <f t="shared" si="13"/>
        <v>0</v>
      </c>
      <c r="N31" s="7" t="s">
        <v>48</v>
      </c>
      <c r="O31" s="12" t="s">
        <v>51</v>
      </c>
      <c r="P31" s="24"/>
      <c r="Q31" s="19"/>
      <c r="R31" s="16">
        <f t="shared" si="12"/>
        <v>0</v>
      </c>
    </row>
    <row r="32" spans="1:18" ht="18.75" x14ac:dyDescent="0.3">
      <c r="A32" s="7" t="s">
        <v>74</v>
      </c>
      <c r="B32" s="12" t="s">
        <v>72</v>
      </c>
      <c r="C32" s="24">
        <v>1200</v>
      </c>
      <c r="D32" s="22">
        <f t="shared" si="0"/>
        <v>1200</v>
      </c>
      <c r="E32" s="74"/>
      <c r="F32" s="16">
        <f t="shared" si="1"/>
        <v>1200</v>
      </c>
      <c r="H32" s="13" t="s">
        <v>56</v>
      </c>
      <c r="I32" s="12" t="s">
        <v>57</v>
      </c>
      <c r="J32" s="25">
        <f>7057+6650+4932</f>
        <v>18639</v>
      </c>
      <c r="K32" s="19"/>
      <c r="L32" s="16">
        <f>J32-K34</f>
        <v>1660</v>
      </c>
      <c r="N32" s="13" t="s">
        <v>56</v>
      </c>
      <c r="O32" s="12" t="s">
        <v>57</v>
      </c>
      <c r="P32" s="71">
        <f>88273.22+51909.65+25459.75+3648.4</f>
        <v>169291.02</v>
      </c>
      <c r="Q32" s="19"/>
      <c r="R32" s="16">
        <f>P32-Q34</f>
        <v>1399.0899999999965</v>
      </c>
    </row>
    <row r="33" spans="1:18" ht="18.75" x14ac:dyDescent="0.3">
      <c r="A33" s="7" t="s">
        <v>75</v>
      </c>
      <c r="B33" s="12" t="s">
        <v>73</v>
      </c>
      <c r="C33" s="24">
        <v>3000</v>
      </c>
      <c r="D33" s="22">
        <f t="shared" si="0"/>
        <v>3000</v>
      </c>
      <c r="E33" s="75">
        <f>2630</f>
        <v>2630</v>
      </c>
      <c r="F33" s="16">
        <f t="shared" si="1"/>
        <v>370</v>
      </c>
      <c r="J33" s="24"/>
      <c r="K33" s="19"/>
      <c r="L33" s="16">
        <f t="shared" si="13"/>
        <v>0</v>
      </c>
      <c r="P33" s="24"/>
      <c r="Q33" s="19"/>
      <c r="R33" s="16">
        <f t="shared" si="12"/>
        <v>0</v>
      </c>
    </row>
    <row r="34" spans="1:18" ht="18.75" x14ac:dyDescent="0.3">
      <c r="A34" s="13" t="s">
        <v>26</v>
      </c>
      <c r="B34" s="12" t="s">
        <v>27</v>
      </c>
      <c r="C34" s="25">
        <v>15985</v>
      </c>
      <c r="D34" s="22">
        <f>C34-809</f>
        <v>15176</v>
      </c>
      <c r="E34" s="19"/>
      <c r="F34" s="16">
        <f t="shared" si="1"/>
        <v>15176</v>
      </c>
      <c r="I34" t="s">
        <v>28</v>
      </c>
      <c r="J34" s="26">
        <f>J32</f>
        <v>18639</v>
      </c>
      <c r="K34" s="55">
        <f>K6+K7+K13+K19+K30+K31</f>
        <v>16979</v>
      </c>
      <c r="L34" s="26">
        <f>J34-K34</f>
        <v>1660</v>
      </c>
      <c r="N34" t="s">
        <v>136</v>
      </c>
      <c r="O34" t="s">
        <v>28</v>
      </c>
      <c r="P34" s="26">
        <v>180758.65</v>
      </c>
      <c r="Q34" s="55">
        <f>Q6+Q24+Q28+Q29+Q307+Q13+Q19+Q30+Q31</f>
        <v>167891.93</v>
      </c>
      <c r="R34" s="26">
        <f>P34-Q34</f>
        <v>12866.720000000001</v>
      </c>
    </row>
    <row r="35" spans="1:18" ht="18.75" x14ac:dyDescent="0.3">
      <c r="C35" s="24"/>
      <c r="D35" s="24"/>
      <c r="E35" s="19"/>
      <c r="F35" s="16">
        <f t="shared" si="1"/>
        <v>0</v>
      </c>
      <c r="J35" s="50"/>
      <c r="K35" s="20"/>
      <c r="N35" t="s">
        <v>135</v>
      </c>
      <c r="P35" s="26">
        <f>114876.54+60210.8</f>
        <v>175087.34</v>
      </c>
      <c r="Q35" s="20"/>
    </row>
    <row r="36" spans="1:18" ht="18.75" x14ac:dyDescent="0.3">
      <c r="B36" t="s">
        <v>28</v>
      </c>
      <c r="C36" s="26">
        <f>C6+C7+C13+C19+C30+C31+C32+C33</f>
        <v>871255.6</v>
      </c>
      <c r="D36" s="26">
        <f>D6+D7+D13+D19+D30+D31+D32+D33</f>
        <v>919167.37</v>
      </c>
      <c r="E36" s="55">
        <f>E6+E7+E13+E19+E30+E31+E33</f>
        <v>862529.82</v>
      </c>
      <c r="F36" s="55">
        <f>F6+F7+F13+F19+F30+F31+F32+F33</f>
        <v>56637.550000000025</v>
      </c>
      <c r="H36" s="1" t="s">
        <v>53</v>
      </c>
      <c r="J36" s="50"/>
      <c r="K36" s="56" t="s">
        <v>54</v>
      </c>
      <c r="N36" s="1" t="s">
        <v>53</v>
      </c>
      <c r="P36" s="50"/>
      <c r="Q36" s="56" t="s">
        <v>54</v>
      </c>
    </row>
    <row r="37" spans="1:18" ht="18" x14ac:dyDescent="0.25">
      <c r="C37" s="50"/>
      <c r="D37" s="50"/>
      <c r="E37" s="20"/>
      <c r="J37" s="50"/>
      <c r="K37" s="20"/>
      <c r="P37" s="50"/>
      <c r="Q37" s="20"/>
    </row>
    <row r="38" spans="1:18" s="28" customFormat="1" ht="18.75" x14ac:dyDescent="0.3">
      <c r="A38" s="1" t="s">
        <v>53</v>
      </c>
      <c r="B38"/>
      <c r="C38" s="50"/>
      <c r="D38" s="50"/>
      <c r="E38" s="56" t="s">
        <v>54</v>
      </c>
      <c r="F38"/>
      <c r="K38" s="29"/>
      <c r="Q38" s="29"/>
    </row>
    <row r="39" spans="1:18" s="28" customFormat="1" ht="21" x14ac:dyDescent="0.35">
      <c r="A39"/>
      <c r="B39"/>
      <c r="C39" s="50"/>
      <c r="D39" s="50"/>
      <c r="E39" s="20"/>
      <c r="F39"/>
      <c r="H39" s="92"/>
      <c r="I39" s="92"/>
      <c r="J39" s="30"/>
      <c r="K39" s="31"/>
      <c r="L39" s="32"/>
      <c r="N39" s="92"/>
      <c r="O39" s="92"/>
      <c r="P39" s="30"/>
      <c r="Q39" s="31"/>
      <c r="R39" s="32"/>
    </row>
    <row r="40" spans="1:18" s="28" customFormat="1" ht="18" x14ac:dyDescent="0.25">
      <c r="E40" s="29"/>
      <c r="I40" s="27"/>
      <c r="J40" s="33"/>
      <c r="K40" s="34"/>
      <c r="L40" s="35"/>
      <c r="O40" s="27"/>
      <c r="P40" s="33"/>
      <c r="Q40" s="34"/>
      <c r="R40" s="35"/>
    </row>
    <row r="41" spans="1:18" s="28" customFormat="1" ht="18" customHeight="1" x14ac:dyDescent="0.35">
      <c r="A41" s="92"/>
      <c r="B41" s="92"/>
      <c r="C41" s="30"/>
      <c r="D41" s="83">
        <f>F36</f>
        <v>56637.550000000025</v>
      </c>
      <c r="E41" s="94" t="s">
        <v>146</v>
      </c>
      <c r="F41" s="94"/>
      <c r="I41" s="27"/>
      <c r="J41" s="36"/>
      <c r="K41" s="37"/>
      <c r="L41" s="35"/>
      <c r="O41" s="27"/>
      <c r="P41" s="36"/>
      <c r="Q41" s="37"/>
      <c r="R41" s="35"/>
    </row>
    <row r="42" spans="1:18" s="28" customFormat="1" ht="18" x14ac:dyDescent="0.25">
      <c r="B42" s="27"/>
      <c r="C42" s="33"/>
      <c r="D42" s="80">
        <f>3.2+1660</f>
        <v>1663.2</v>
      </c>
      <c r="E42" s="37" t="s">
        <v>147</v>
      </c>
      <c r="F42" s="35"/>
      <c r="I42" s="27"/>
      <c r="J42" s="36"/>
      <c r="K42" s="37"/>
      <c r="L42" s="35"/>
      <c r="O42" s="27"/>
      <c r="P42" s="36"/>
      <c r="Q42" s="37"/>
      <c r="R42" s="35"/>
    </row>
    <row r="43" spans="1:18" s="28" customFormat="1" ht="18" x14ac:dyDescent="0.25">
      <c r="B43" s="27"/>
      <c r="C43" s="36"/>
      <c r="D43" s="36">
        <v>1399.09</v>
      </c>
      <c r="E43" s="37" t="s">
        <v>148</v>
      </c>
      <c r="F43" s="35"/>
      <c r="I43" s="27"/>
      <c r="J43" s="36"/>
      <c r="K43" s="37"/>
      <c r="L43" s="35"/>
      <c r="O43" s="27"/>
      <c r="P43" s="36"/>
      <c r="Q43" s="37"/>
      <c r="R43" s="35"/>
    </row>
    <row r="44" spans="1:18" s="39" customFormat="1" ht="18" x14ac:dyDescent="0.25">
      <c r="C44" s="33"/>
      <c r="D44" s="80">
        <v>17576.099999999999</v>
      </c>
      <c r="E44" s="37" t="s">
        <v>149</v>
      </c>
      <c r="F44" s="35"/>
      <c r="I44" s="78"/>
      <c r="J44" s="33"/>
      <c r="K44" s="34"/>
      <c r="L44" s="35"/>
      <c r="O44" s="78"/>
      <c r="P44" s="33"/>
      <c r="Q44" s="34"/>
      <c r="R44" s="35"/>
    </row>
    <row r="45" spans="1:18" s="28" customFormat="1" ht="18" x14ac:dyDescent="0.25">
      <c r="C45" s="36"/>
      <c r="D45" s="80">
        <v>186.51</v>
      </c>
      <c r="E45" s="37" t="s">
        <v>150</v>
      </c>
      <c r="F45" s="35"/>
      <c r="I45" s="27"/>
      <c r="J45" s="36"/>
      <c r="K45" s="37"/>
      <c r="L45" s="35"/>
      <c r="O45" s="27"/>
      <c r="P45" s="36"/>
      <c r="Q45" s="37"/>
      <c r="R45" s="35"/>
    </row>
    <row r="46" spans="1:18" s="28" customFormat="1" ht="20.25" x14ac:dyDescent="0.3">
      <c r="C46" s="36"/>
      <c r="D46" s="82">
        <f>SUM(D42:D45)</f>
        <v>20824.899999999998</v>
      </c>
      <c r="E46" s="81" t="s">
        <v>151</v>
      </c>
      <c r="F46" s="35"/>
      <c r="I46" s="27"/>
      <c r="J46" s="36"/>
      <c r="K46" s="37"/>
      <c r="L46" s="35"/>
      <c r="O46" s="27"/>
      <c r="P46" s="36"/>
      <c r="Q46" s="37"/>
      <c r="R46" s="35"/>
    </row>
    <row r="47" spans="1:18" s="28" customFormat="1" ht="18" x14ac:dyDescent="0.25">
      <c r="C47" s="36"/>
      <c r="D47" s="36"/>
      <c r="E47" s="37"/>
      <c r="F47" s="35"/>
      <c r="I47" s="27"/>
      <c r="J47" s="36"/>
      <c r="K47" s="37"/>
      <c r="L47" s="35"/>
      <c r="O47" s="27"/>
      <c r="P47" s="36"/>
      <c r="Q47" s="37"/>
      <c r="R47" s="35"/>
    </row>
    <row r="48" spans="1:18" s="28" customFormat="1" ht="18" x14ac:dyDescent="0.25">
      <c r="B48" s="78">
        <v>809</v>
      </c>
      <c r="C48" s="36"/>
      <c r="D48" s="36"/>
      <c r="E48" s="37"/>
      <c r="F48" s="35"/>
      <c r="I48" s="27"/>
      <c r="J48" s="36"/>
      <c r="K48" s="37"/>
      <c r="L48" s="35"/>
      <c r="O48" s="27"/>
      <c r="P48" s="36"/>
      <c r="Q48" s="37"/>
      <c r="R48" s="35"/>
    </row>
    <row r="49" spans="1:18" s="28" customFormat="1" ht="18" x14ac:dyDescent="0.25">
      <c r="B49" s="27">
        <v>2122.44</v>
      </c>
      <c r="C49" s="36"/>
      <c r="D49" s="36"/>
      <c r="E49" s="37"/>
      <c r="F49" s="35"/>
      <c r="I49" s="27"/>
      <c r="J49" s="36"/>
      <c r="K49" s="37"/>
      <c r="L49" s="35"/>
      <c r="O49" s="27"/>
      <c r="P49" s="36"/>
      <c r="Q49" s="37"/>
      <c r="R49" s="35"/>
    </row>
    <row r="50" spans="1:18" s="28" customFormat="1" ht="18" x14ac:dyDescent="0.25">
      <c r="B50" s="27">
        <v>987.17</v>
      </c>
      <c r="C50" s="36"/>
      <c r="D50" s="36"/>
      <c r="E50" s="37"/>
      <c r="F50" s="35"/>
      <c r="I50" s="27"/>
      <c r="J50" s="36"/>
      <c r="K50" s="37"/>
      <c r="L50" s="35"/>
      <c r="O50" s="27"/>
      <c r="P50" s="36"/>
      <c r="Q50" s="37"/>
      <c r="R50" s="35"/>
    </row>
    <row r="51" spans="1:18" s="28" customFormat="1" ht="18" x14ac:dyDescent="0.25">
      <c r="B51" s="27">
        <v>7225</v>
      </c>
      <c r="C51" s="36"/>
      <c r="D51" s="36"/>
      <c r="E51" s="37"/>
      <c r="F51" s="35"/>
      <c r="I51" s="27"/>
      <c r="J51" s="36"/>
      <c r="K51" s="37"/>
      <c r="L51" s="35"/>
      <c r="O51" s="27"/>
      <c r="P51" s="36"/>
      <c r="Q51" s="37"/>
      <c r="R51" s="35"/>
    </row>
    <row r="52" spans="1:18" s="28" customFormat="1" ht="18" x14ac:dyDescent="0.25">
      <c r="B52" s="27">
        <v>1632</v>
      </c>
      <c r="C52" s="36"/>
      <c r="D52" s="36"/>
      <c r="E52" s="37"/>
      <c r="F52" s="35"/>
      <c r="I52" s="27"/>
      <c r="J52" s="36"/>
      <c r="K52" s="37"/>
      <c r="L52" s="35"/>
      <c r="O52" s="27"/>
      <c r="P52" s="36"/>
      <c r="Q52" s="37"/>
      <c r="R52" s="35"/>
    </row>
    <row r="53" spans="1:18" s="28" customFormat="1" ht="18" x14ac:dyDescent="0.25">
      <c r="B53" s="27">
        <v>23984</v>
      </c>
      <c r="C53" s="36"/>
      <c r="D53" s="36"/>
      <c r="E53" s="37"/>
      <c r="F53" s="35"/>
      <c r="J53" s="33"/>
      <c r="K53" s="34"/>
      <c r="L53" s="35"/>
      <c r="P53" s="33"/>
      <c r="Q53" s="34"/>
      <c r="R53" s="35"/>
    </row>
    <row r="54" spans="1:18" s="28" customFormat="1" ht="18" x14ac:dyDescent="0.25">
      <c r="B54" s="27">
        <v>3522.56</v>
      </c>
      <c r="C54" s="36"/>
      <c r="D54" s="36"/>
      <c r="E54" s="37"/>
      <c r="F54" s="35"/>
      <c r="J54" s="35"/>
      <c r="K54" s="34"/>
      <c r="L54" s="35"/>
      <c r="P54" s="35"/>
      <c r="Q54" s="34"/>
      <c r="R54" s="35"/>
    </row>
    <row r="55" spans="1:18" s="28" customFormat="1" ht="18" x14ac:dyDescent="0.25">
      <c r="B55" s="27">
        <v>7331.03</v>
      </c>
      <c r="C55" s="33"/>
      <c r="D55" s="33"/>
      <c r="E55" s="34"/>
      <c r="F55" s="35"/>
      <c r="J55" s="35"/>
      <c r="K55" s="34"/>
      <c r="L55" s="35"/>
      <c r="P55" s="35"/>
      <c r="Q55" s="34"/>
      <c r="R55" s="35"/>
    </row>
    <row r="56" spans="1:18" s="28" customFormat="1" ht="18" x14ac:dyDescent="0.25">
      <c r="B56" s="27">
        <f>SUM(B48:B55)</f>
        <v>47613.2</v>
      </c>
      <c r="C56" s="35"/>
      <c r="D56" s="35"/>
      <c r="E56" s="34"/>
      <c r="F56" s="35"/>
      <c r="H56" s="39"/>
      <c r="J56" s="40"/>
      <c r="K56" s="27"/>
      <c r="N56" s="39"/>
      <c r="P56" s="40"/>
      <c r="Q56" s="27"/>
    </row>
    <row r="57" spans="1:18" s="28" customFormat="1" ht="18" x14ac:dyDescent="0.25">
      <c r="B57" s="27"/>
      <c r="C57" s="35"/>
      <c r="D57" s="35"/>
      <c r="E57" s="34"/>
      <c r="F57" s="35"/>
      <c r="J57" s="41"/>
      <c r="K57" s="41"/>
      <c r="P57" s="41"/>
      <c r="Q57" s="41"/>
    </row>
    <row r="58" spans="1:18" s="28" customFormat="1" ht="18" x14ac:dyDescent="0.25">
      <c r="A58" s="39"/>
      <c r="B58" s="40">
        <f>D36-B56</f>
        <v>871554.17</v>
      </c>
      <c r="C58" s="40"/>
      <c r="D58" s="40"/>
      <c r="E58" s="27"/>
      <c r="H58" s="38"/>
      <c r="I58" s="27"/>
      <c r="J58" s="27"/>
      <c r="K58" s="27"/>
      <c r="N58" s="38"/>
      <c r="O58" s="27"/>
      <c r="P58" s="27"/>
      <c r="Q58" s="27"/>
    </row>
    <row r="59" spans="1:18" s="28" customFormat="1" ht="18" x14ac:dyDescent="0.25">
      <c r="C59" s="41"/>
      <c r="D59" s="41"/>
      <c r="E59" s="41"/>
      <c r="I59" s="27"/>
      <c r="J59" s="27"/>
      <c r="K59" s="27"/>
      <c r="O59" s="27"/>
      <c r="P59" s="27"/>
      <c r="Q59" s="27"/>
    </row>
    <row r="60" spans="1:18" s="28" customFormat="1" ht="18" x14ac:dyDescent="0.25">
      <c r="A60" s="38"/>
      <c r="B60" s="27"/>
      <c r="C60" s="27"/>
      <c r="D60" s="27"/>
      <c r="E60" s="27"/>
      <c r="I60" s="27"/>
      <c r="J60" s="27"/>
      <c r="K60" s="27"/>
      <c r="O60" s="27"/>
      <c r="P60" s="27"/>
      <c r="Q60" s="27"/>
    </row>
    <row r="61" spans="1:18" s="28" customFormat="1" ht="18" x14ac:dyDescent="0.25">
      <c r="B61" s="27"/>
      <c r="C61" s="27"/>
      <c r="D61" s="27"/>
      <c r="E61" s="27"/>
      <c r="H61" s="38"/>
      <c r="I61" s="27"/>
      <c r="J61" s="27"/>
      <c r="K61" s="27"/>
      <c r="N61" s="38"/>
      <c r="O61" s="27"/>
      <c r="P61" s="27"/>
      <c r="Q61" s="27"/>
    </row>
    <row r="62" spans="1:18" s="28" customFormat="1" ht="18" x14ac:dyDescent="0.25">
      <c r="B62" s="27"/>
      <c r="C62" s="27"/>
      <c r="D62" s="27"/>
      <c r="E62" s="27"/>
      <c r="H62" s="38"/>
      <c r="I62" s="27"/>
      <c r="J62" s="27"/>
      <c r="K62" s="27"/>
      <c r="N62" s="38"/>
      <c r="O62" s="27"/>
      <c r="P62" s="27"/>
      <c r="Q62" s="27"/>
    </row>
    <row r="63" spans="1:18" s="28" customFormat="1" ht="18" x14ac:dyDescent="0.25">
      <c r="A63" s="38"/>
      <c r="B63" s="27"/>
      <c r="C63" s="27"/>
      <c r="D63" s="27"/>
      <c r="E63" s="27"/>
      <c r="H63" s="38"/>
      <c r="I63" s="27"/>
      <c r="J63" s="27"/>
      <c r="K63" s="27"/>
      <c r="N63" s="38"/>
      <c r="O63" s="27"/>
      <c r="P63" s="27"/>
      <c r="Q63" s="27"/>
    </row>
    <row r="64" spans="1:18" s="28" customFormat="1" ht="18" x14ac:dyDescent="0.25">
      <c r="A64" s="38"/>
      <c r="B64" s="27"/>
      <c r="C64" s="27"/>
      <c r="D64" s="27"/>
      <c r="E64" s="27"/>
      <c r="H64" s="38"/>
      <c r="I64" s="27"/>
      <c r="J64" s="27"/>
      <c r="K64" s="27"/>
      <c r="N64" s="38"/>
      <c r="O64" s="27"/>
      <c r="P64" s="27"/>
      <c r="Q64" s="27"/>
    </row>
    <row r="65" spans="1:6" s="28" customFormat="1" ht="18" x14ac:dyDescent="0.25">
      <c r="A65" s="38"/>
      <c r="B65" s="27"/>
      <c r="C65" s="27"/>
      <c r="D65" s="27"/>
      <c r="E65" s="27"/>
    </row>
    <row r="66" spans="1:6" ht="18" x14ac:dyDescent="0.25">
      <c r="A66" s="38"/>
      <c r="B66" s="27"/>
      <c r="C66" s="27"/>
      <c r="D66" s="27"/>
      <c r="E66" s="27"/>
      <c r="F66" s="28"/>
    </row>
    <row r="67" spans="1:6" x14ac:dyDescent="0.25">
      <c r="A67" s="28"/>
      <c r="B67" s="28"/>
      <c r="C67" s="28"/>
      <c r="D67" s="28"/>
      <c r="E67" s="28"/>
      <c r="F67" s="28"/>
    </row>
  </sheetData>
  <mergeCells count="10">
    <mergeCell ref="H39:I39"/>
    <mergeCell ref="N39:O39"/>
    <mergeCell ref="A41:B41"/>
    <mergeCell ref="E41:F41"/>
    <mergeCell ref="A5:B5"/>
    <mergeCell ref="H5:I5"/>
    <mergeCell ref="N5:O5"/>
    <mergeCell ref="A6:A7"/>
    <mergeCell ref="H6:H7"/>
    <mergeCell ref="N6:N7"/>
  </mergeCells>
  <pageMargins left="0.7" right="0.7" top="0.75" bottom="0.75" header="0.3" footer="0.3"/>
  <pageSetup paperSize="9" scale="83" orientation="portrait" r:id="rId1"/>
  <rowBreaks count="1" manualBreakCount="1">
    <brk id="46" max="16383" man="1"/>
  </rowBreaks>
  <colBreaks count="1" manualBreakCount="1">
    <brk id="6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Работни листове</vt:lpstr>
      </vt:variant>
      <vt:variant>
        <vt:i4>16</vt:i4>
      </vt:variant>
      <vt:variant>
        <vt:lpstr>Наименувани диапазони</vt:lpstr>
      </vt:variant>
      <vt:variant>
        <vt:i4>7</vt:i4>
      </vt:variant>
    </vt:vector>
  </HeadingPairs>
  <TitlesOfParts>
    <vt:vector size="23" baseType="lpstr">
      <vt:lpstr>Лист2</vt:lpstr>
      <vt:lpstr>ЩАТНО</vt:lpstr>
      <vt:lpstr>Б-2025</vt:lpstr>
      <vt:lpstr>31.01.26</vt:lpstr>
      <vt:lpstr>28.02.26</vt:lpstr>
      <vt:lpstr>31.03.26</vt:lpstr>
      <vt:lpstr>30.04.2025</vt:lpstr>
      <vt:lpstr>31.05.25</vt:lpstr>
      <vt:lpstr>30.06.25</vt:lpstr>
      <vt:lpstr>31.07.25</vt:lpstr>
      <vt:lpstr>31.08.25</vt:lpstr>
      <vt:lpstr>30.09.25</vt:lpstr>
      <vt:lpstr>31.10.25</vt:lpstr>
      <vt:lpstr>30.11.25</vt:lpstr>
      <vt:lpstr>31.12.25</vt:lpstr>
      <vt:lpstr>Лист1</vt:lpstr>
      <vt:lpstr>'28.02.26'!Област_печат</vt:lpstr>
      <vt:lpstr>'30.04.2025'!Област_печат</vt:lpstr>
      <vt:lpstr>'30.09.25'!Област_печат</vt:lpstr>
      <vt:lpstr>'31.01.26'!Област_печат</vt:lpstr>
      <vt:lpstr>'31.03.26'!Област_печат</vt:lpstr>
      <vt:lpstr>'31.12.25'!Област_печат</vt:lpstr>
      <vt:lpstr>'Б-2025'!Област_печат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Borislava Ignatova</cp:lastModifiedBy>
  <cp:lastPrinted>2026-04-06T06:30:25Z</cp:lastPrinted>
  <dcterms:created xsi:type="dcterms:W3CDTF">2020-06-11T08:07:16Z</dcterms:created>
  <dcterms:modified xsi:type="dcterms:W3CDTF">2026-04-06T06:32:51Z</dcterms:modified>
</cp:coreProperties>
</file>